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0.xml" ContentType="application/vnd.openxmlformats-officedocument.themeOverride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4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diaz\AppData\Local\Temp\oa\"/>
    </mc:Choice>
  </mc:AlternateContent>
  <workbookProtection workbookAlgorithmName="SHA-512" workbookHashValue="abn2I180CNYrvlKzXS1jrY8lohjyVln5UvvHOaMr4hwKYiCkdfcS3QmZ9G+oV+VKVL/ik2tIOeaZ4mbskpJjuw==" workbookSaltValue="o2r5sDURiH4QdhUJevTb2w==" workbookSpinCount="100000" lockStructure="1"/>
  <bookViews>
    <workbookView xWindow="0" yWindow="0" windowWidth="20325" windowHeight="9135" firstSheet="4" activeTab="4"/>
  </bookViews>
  <sheets>
    <sheet name="DATOS 1" sheetId="16" state="hidden" r:id="rId1"/>
    <sheet name="DATOS " sheetId="15" r:id="rId2"/>
    <sheet name="RT03-F12" sheetId="8" state="hidden" r:id="rId3"/>
    <sheet name="RT03-F15 " sheetId="18" state="hidden" r:id="rId4"/>
    <sheet name="RT03-F39" sheetId="17" r:id="rId5"/>
  </sheets>
  <externalReferences>
    <externalReference r:id="rId6"/>
    <externalReference r:id="rId7"/>
    <externalReference r:id="rId8"/>
    <externalReference r:id="rId9"/>
  </externalReferences>
  <definedNames>
    <definedName name="a1_">'[1]APROXIMACION LINEL'!$C$21</definedName>
    <definedName name="DELTAMAXI">'[2]PRUEBAS DE CALIBRACION'!$G$18</definedName>
    <definedName name="DIVISIÓNDEESCALA">[2]DATOS!$E$13</definedName>
    <definedName name="factordecobertura">'[3]COMPONENTES DE INCERTI'!$G$32:$K$32</definedName>
    <definedName name="LEXCENTRICIDAD">'[2]PRUEBAS DE CALIBRACION'!$H$11</definedName>
    <definedName name="Print_Area" localSheetId="1">'DATOS '!$A$1:$T$167</definedName>
    <definedName name="Print_Area" localSheetId="0">'DATOS 1'!$A$1:$T$165</definedName>
    <definedName name="Print_Area" localSheetId="2">'RT03-F12'!$A$1:$L$144</definedName>
    <definedName name="Print_Area" localSheetId="3">'RT03-F15 '!$A$1:$F$193</definedName>
    <definedName name="Print_Titles" localSheetId="2">'RT03-F12'!$1:$3</definedName>
    <definedName name="Print_Titles" localSheetId="3">'RT03-F15 '!$1:$1</definedName>
    <definedName name="Print_Titles" localSheetId="4">'RT03-F39'!$1:$1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5" i="15" l="1"/>
  <c r="A180" i="17" l="1"/>
  <c r="A179" i="17"/>
  <c r="D180" i="17"/>
  <c r="D179" i="17"/>
  <c r="D190" i="18"/>
  <c r="D189" i="18"/>
  <c r="K65" i="8"/>
  <c r="A190" i="18"/>
  <c r="A189" i="18"/>
  <c r="J29" i="8" l="1"/>
  <c r="H29" i="8"/>
  <c r="E29" i="8"/>
  <c r="J28" i="8"/>
  <c r="G28" i="8"/>
  <c r="E28" i="8"/>
  <c r="C28" i="8"/>
  <c r="T165" i="15"/>
  <c r="T164" i="15"/>
  <c r="S164" i="15"/>
  <c r="T163" i="15"/>
  <c r="T162" i="15"/>
  <c r="S162" i="15"/>
  <c r="T161" i="15"/>
  <c r="S161" i="15"/>
  <c r="S165" i="15"/>
  <c r="S163" i="15"/>
  <c r="R165" i="15"/>
  <c r="R164" i="15"/>
  <c r="R163" i="15"/>
  <c r="R162" i="15"/>
  <c r="Q162" i="15"/>
  <c r="R161" i="15"/>
  <c r="Q161" i="15"/>
  <c r="Q165" i="15"/>
  <c r="Q164" i="15"/>
  <c r="Q163" i="15"/>
  <c r="P165" i="15"/>
  <c r="P164" i="15"/>
  <c r="P163" i="15"/>
  <c r="P162" i="15"/>
  <c r="O162" i="15"/>
  <c r="P161" i="15"/>
  <c r="O161" i="15"/>
  <c r="O165" i="15"/>
  <c r="O164" i="15"/>
  <c r="O163" i="15"/>
  <c r="M165" i="15"/>
  <c r="N165" i="15"/>
  <c r="M164" i="15"/>
  <c r="N164" i="15"/>
  <c r="M163" i="15"/>
  <c r="N163" i="15"/>
  <c r="M162" i="15"/>
  <c r="N162" i="15"/>
  <c r="L165" i="15"/>
  <c r="L164" i="15"/>
  <c r="L163" i="15"/>
  <c r="L162" i="15"/>
  <c r="M161" i="15"/>
  <c r="N161" i="15"/>
  <c r="L161" i="15"/>
  <c r="K165" i="15"/>
  <c r="K164" i="15"/>
  <c r="K163" i="15"/>
  <c r="K162" i="15"/>
  <c r="K161" i="15"/>
  <c r="J165" i="15"/>
  <c r="J164" i="15"/>
  <c r="J163" i="15"/>
  <c r="J162" i="15"/>
  <c r="J161" i="15"/>
  <c r="I165" i="15"/>
  <c r="I164" i="15"/>
  <c r="I163" i="15"/>
  <c r="I162" i="15"/>
  <c r="I161" i="15"/>
  <c r="H164" i="15"/>
  <c r="H165" i="15"/>
  <c r="H163" i="15"/>
  <c r="H162" i="15"/>
  <c r="H161" i="15"/>
  <c r="G165" i="15"/>
  <c r="G164" i="15"/>
  <c r="G163" i="15"/>
  <c r="G162" i="15"/>
  <c r="G161" i="15"/>
  <c r="K159" i="15"/>
  <c r="J159" i="15"/>
  <c r="H159" i="15"/>
  <c r="I159" i="15"/>
  <c r="R145" i="15"/>
  <c r="Q145" i="15"/>
  <c r="P145" i="15"/>
  <c r="R135" i="15"/>
  <c r="Q135" i="15"/>
  <c r="P135" i="15"/>
  <c r="Q125" i="15"/>
  <c r="P125" i="15"/>
  <c r="R114" i="15"/>
  <c r="Q114" i="15"/>
  <c r="P114" i="15"/>
  <c r="R103" i="15"/>
  <c r="Q103" i="15"/>
  <c r="P103" i="15"/>
  <c r="A114" i="18" l="1"/>
  <c r="B109" i="18"/>
  <c r="B108" i="18"/>
  <c r="B107" i="18"/>
  <c r="B106" i="18"/>
  <c r="B105" i="18"/>
  <c r="D94" i="18"/>
  <c r="C94" i="18"/>
  <c r="B94" i="18"/>
  <c r="A94" i="18"/>
  <c r="D93" i="18"/>
  <c r="C93" i="18"/>
  <c r="B93" i="18"/>
  <c r="A93" i="18"/>
  <c r="D92" i="18"/>
  <c r="C92" i="18"/>
  <c r="B92" i="18"/>
  <c r="A92" i="18"/>
  <c r="D91" i="18"/>
  <c r="C91" i="18"/>
  <c r="B91" i="18"/>
  <c r="A91" i="18"/>
  <c r="D90" i="18"/>
  <c r="C90" i="18"/>
  <c r="B90" i="18"/>
  <c r="A90" i="18"/>
  <c r="D89" i="18"/>
  <c r="C89" i="18"/>
  <c r="B89" i="18"/>
  <c r="A89" i="18"/>
  <c r="D88" i="18"/>
  <c r="C88" i="18"/>
  <c r="B88" i="18"/>
  <c r="A88" i="18"/>
  <c r="D87" i="18"/>
  <c r="C87" i="18"/>
  <c r="B87" i="18"/>
  <c r="A87" i="18"/>
  <c r="D86" i="18"/>
  <c r="C86" i="18"/>
  <c r="B86" i="18"/>
  <c r="A86" i="18"/>
  <c r="D85" i="18"/>
  <c r="C85" i="18"/>
  <c r="B85" i="18"/>
  <c r="A85" i="18"/>
  <c r="A83" i="18"/>
  <c r="A72" i="18"/>
  <c r="B71" i="18"/>
  <c r="A71" i="18"/>
  <c r="B70" i="18"/>
  <c r="A70" i="18"/>
  <c r="B69" i="18"/>
  <c r="A69" i="18"/>
  <c r="B68" i="18"/>
  <c r="A68" i="18"/>
  <c r="B67" i="18"/>
  <c r="A67" i="18"/>
  <c r="B66" i="18"/>
  <c r="A66" i="18"/>
  <c r="C65" i="18"/>
  <c r="A65" i="18"/>
  <c r="A112" i="17" l="1"/>
  <c r="B108" i="17"/>
  <c r="B107" i="17"/>
  <c r="B106" i="17"/>
  <c r="B105" i="17"/>
  <c r="B104" i="17"/>
  <c r="D93" i="17"/>
  <c r="C93" i="17"/>
  <c r="B93" i="17"/>
  <c r="A93" i="17"/>
  <c r="D92" i="17"/>
  <c r="C92" i="17"/>
  <c r="B92" i="17"/>
  <c r="A92" i="17"/>
  <c r="D91" i="17"/>
  <c r="C91" i="17"/>
  <c r="B91" i="17"/>
  <c r="A91" i="17"/>
  <c r="D90" i="17"/>
  <c r="C90" i="17"/>
  <c r="B90" i="17"/>
  <c r="A90" i="17"/>
  <c r="D89" i="17"/>
  <c r="C89" i="17"/>
  <c r="B89" i="17"/>
  <c r="A89" i="17"/>
  <c r="D88" i="17"/>
  <c r="C88" i="17"/>
  <c r="B88" i="17"/>
  <c r="A88" i="17"/>
  <c r="D87" i="17"/>
  <c r="C87" i="17"/>
  <c r="B87" i="17"/>
  <c r="A87" i="17"/>
  <c r="D86" i="17"/>
  <c r="C86" i="17"/>
  <c r="B86" i="17"/>
  <c r="A86" i="17"/>
  <c r="D85" i="17"/>
  <c r="C85" i="17"/>
  <c r="B85" i="17"/>
  <c r="A85" i="17"/>
  <c r="D84" i="17"/>
  <c r="C84" i="17"/>
  <c r="B84" i="17"/>
  <c r="A84" i="17"/>
  <c r="A82" i="17"/>
  <c r="A71" i="17"/>
  <c r="B70" i="17"/>
  <c r="A70" i="17"/>
  <c r="B69" i="17"/>
  <c r="A69" i="17"/>
  <c r="B68" i="17"/>
  <c r="A68" i="17"/>
  <c r="B67" i="17"/>
  <c r="A67" i="17"/>
  <c r="B66" i="17"/>
  <c r="A66" i="17"/>
  <c r="B65" i="17"/>
  <c r="A65" i="17"/>
  <c r="C64" i="17"/>
  <c r="A64" i="17"/>
  <c r="C12" i="17"/>
  <c r="C11" i="17"/>
  <c r="C10" i="17"/>
  <c r="H119" i="8" l="1"/>
  <c r="P57" i="15" l="1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56" i="15"/>
  <c r="P55" i="15"/>
  <c r="I6" i="8" l="1"/>
  <c r="F6" i="8"/>
  <c r="F15" i="17" l="1"/>
  <c r="F15" i="18"/>
  <c r="F2" i="17"/>
  <c r="F44" i="17" s="1"/>
  <c r="F2" i="18"/>
  <c r="F78" i="17" l="1"/>
  <c r="F152" i="17"/>
  <c r="F110" i="17"/>
  <c r="F157" i="18"/>
  <c r="F45" i="18"/>
  <c r="F79" i="18"/>
  <c r="F112" i="18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73" i="15"/>
  <c r="P72" i="15"/>
  <c r="P71" i="15"/>
  <c r="P29" i="15"/>
  <c r="P30" i="15"/>
  <c r="P31" i="15"/>
  <c r="P32" i="15"/>
  <c r="P28" i="15"/>
  <c r="P38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40" i="15"/>
  <c r="P41" i="15"/>
  <c r="P39" i="15"/>
  <c r="B160" i="16"/>
  <c r="R145" i="16"/>
  <c r="Q145" i="16"/>
  <c r="P145" i="16"/>
  <c r="R135" i="16"/>
  <c r="Q135" i="16"/>
  <c r="P135" i="16"/>
  <c r="R125" i="16"/>
  <c r="Q125" i="16"/>
  <c r="P125" i="16"/>
  <c r="R114" i="16"/>
  <c r="Q114" i="16"/>
  <c r="P114" i="16"/>
  <c r="R103" i="16"/>
  <c r="Q103" i="16"/>
  <c r="P103" i="16"/>
  <c r="Q74" i="16"/>
  <c r="Q75" i="16" s="1"/>
  <c r="Q76" i="16" s="1"/>
  <c r="Q77" i="16" s="1"/>
  <c r="Q78" i="16" s="1"/>
  <c r="Q79" i="16" s="1"/>
  <c r="Q80" i="16" s="1"/>
  <c r="Q81" i="16" s="1"/>
  <c r="Q82" i="16" s="1"/>
  <c r="Q83" i="16" s="1"/>
  <c r="Q84" i="16" s="1"/>
  <c r="Q85" i="16" s="1"/>
  <c r="Q86" i="16" s="1"/>
  <c r="Q87" i="16" s="1"/>
  <c r="Q88" i="16" s="1"/>
  <c r="N88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P72" i="16"/>
  <c r="N72" i="16"/>
  <c r="P71" i="16"/>
  <c r="N71" i="16"/>
  <c r="Q56" i="16"/>
  <c r="Q57" i="16"/>
  <c r="Q58" i="16" s="1"/>
  <c r="Q59" i="16" s="1"/>
  <c r="Q60" i="16" s="1"/>
  <c r="Q61" i="16" s="1"/>
  <c r="Q62" i="16" s="1"/>
  <c r="Q63" i="16" s="1"/>
  <c r="Q64" i="16" s="1"/>
  <c r="Q65" i="16" s="1"/>
  <c r="Q66" i="16" s="1"/>
  <c r="Q67" i="16" s="1"/>
  <c r="Q68" i="16" s="1"/>
  <c r="Q69" i="16" s="1"/>
  <c r="Q70" i="16" s="1"/>
  <c r="P70" i="16"/>
  <c r="N70" i="16"/>
  <c r="I56" i="16"/>
  <c r="I57" i="16" s="1"/>
  <c r="I58" i="16" s="1"/>
  <c r="I59" i="16" s="1"/>
  <c r="I60" i="16" s="1"/>
  <c r="I61" i="16" s="1"/>
  <c r="I62" i="16" s="1"/>
  <c r="I63" i="16" s="1"/>
  <c r="I64" i="16" s="1"/>
  <c r="I65" i="16" s="1"/>
  <c r="I66" i="16" s="1"/>
  <c r="I67" i="16" s="1"/>
  <c r="I68" i="16" s="1"/>
  <c r="I69" i="16" s="1"/>
  <c r="I70" i="16" s="1"/>
  <c r="P69" i="16"/>
  <c r="N69" i="16"/>
  <c r="P68" i="16"/>
  <c r="N68" i="16"/>
  <c r="P67" i="16"/>
  <c r="N67" i="16"/>
  <c r="P66" i="16"/>
  <c r="N66" i="16"/>
  <c r="P65" i="16"/>
  <c r="N65" i="16"/>
  <c r="P64" i="16"/>
  <c r="N64" i="16"/>
  <c r="P63" i="16"/>
  <c r="N63" i="16"/>
  <c r="P62" i="16"/>
  <c r="N62" i="16"/>
  <c r="P61" i="16"/>
  <c r="N61" i="16"/>
  <c r="P60" i="16"/>
  <c r="N60" i="16"/>
  <c r="P59" i="16"/>
  <c r="N59" i="16"/>
  <c r="P58" i="16"/>
  <c r="N58" i="16"/>
  <c r="P57" i="16"/>
  <c r="N57" i="16"/>
  <c r="P56" i="16"/>
  <c r="N56" i="16"/>
  <c r="P55" i="16"/>
  <c r="N55" i="16"/>
  <c r="Q39" i="16"/>
  <c r="Q40" i="16"/>
  <c r="Q41" i="16" s="1"/>
  <c r="Q42" i="16" s="1"/>
  <c r="Q43" i="16" s="1"/>
  <c r="Q44" i="16" s="1"/>
  <c r="Q45" i="16" s="1"/>
  <c r="Q46" i="16" s="1"/>
  <c r="Q47" i="16" s="1"/>
  <c r="Q48" i="16" s="1"/>
  <c r="Q49" i="16" s="1"/>
  <c r="Q50" i="16" s="1"/>
  <c r="Q51" i="16" s="1"/>
  <c r="Q52" i="16" s="1"/>
  <c r="Q53" i="16" s="1"/>
  <c r="Q54" i="16" s="1"/>
  <c r="P54" i="16"/>
  <c r="N54" i="16"/>
  <c r="P53" i="16"/>
  <c r="N53" i="16"/>
  <c r="P52" i="16"/>
  <c r="N52" i="16"/>
  <c r="P51" i="16"/>
  <c r="N51" i="16"/>
  <c r="P50" i="16"/>
  <c r="N50" i="16"/>
  <c r="P49" i="16"/>
  <c r="N49" i="16"/>
  <c r="P48" i="16"/>
  <c r="N48" i="16"/>
  <c r="P47" i="16"/>
  <c r="N47" i="16"/>
  <c r="P46" i="16"/>
  <c r="N46" i="16"/>
  <c r="P45" i="16"/>
  <c r="N45" i="16"/>
  <c r="P44" i="16"/>
  <c r="N44" i="16"/>
  <c r="P43" i="16"/>
  <c r="N43" i="16"/>
  <c r="P42" i="16"/>
  <c r="N42" i="16"/>
  <c r="P41" i="16"/>
  <c r="N41" i="16"/>
  <c r="P40" i="16"/>
  <c r="N40" i="16"/>
  <c r="P39" i="16"/>
  <c r="N39" i="16"/>
  <c r="P38" i="16"/>
  <c r="N38" i="16"/>
  <c r="N32" i="16"/>
  <c r="N31" i="16"/>
  <c r="N30" i="16"/>
  <c r="N29" i="16"/>
  <c r="N28" i="16"/>
  <c r="I102" i="8"/>
  <c r="L32" i="8"/>
  <c r="I23" i="8"/>
  <c r="H78" i="8" s="1"/>
  <c r="B6" i="8"/>
  <c r="H6" i="8"/>
  <c r="C6" i="18" s="1"/>
  <c r="C42" i="18" s="1"/>
  <c r="G6" i="8"/>
  <c r="C5" i="18" s="1"/>
  <c r="E6" i="8"/>
  <c r="D6" i="8"/>
  <c r="C24" i="18" s="1"/>
  <c r="C6" i="8"/>
  <c r="C15" i="18" s="1"/>
  <c r="N28" i="15"/>
  <c r="I15" i="8"/>
  <c r="I14" i="8"/>
  <c r="I13" i="8"/>
  <c r="I12" i="8"/>
  <c r="I11" i="8"/>
  <c r="I10" i="8"/>
  <c r="E34" i="8"/>
  <c r="J25" i="8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38" i="15"/>
  <c r="N29" i="15"/>
  <c r="N30" i="15"/>
  <c r="H22" i="8"/>
  <c r="B56" i="8" s="1"/>
  <c r="N31" i="15"/>
  <c r="H23" i="8"/>
  <c r="B57" i="8" s="1"/>
  <c r="N32" i="15"/>
  <c r="H24" i="8" s="1"/>
  <c r="G23" i="8"/>
  <c r="J128" i="8" s="1"/>
  <c r="E26" i="8"/>
  <c r="D26" i="8"/>
  <c r="C26" i="8"/>
  <c r="B26" i="8"/>
  <c r="I24" i="8"/>
  <c r="I22" i="8"/>
  <c r="G79" i="8" s="1"/>
  <c r="I21" i="8"/>
  <c r="F79" i="8" s="1"/>
  <c r="H21" i="8"/>
  <c r="B55" i="8" s="1"/>
  <c r="J24" i="8"/>
  <c r="J23" i="8"/>
  <c r="J22" i="8"/>
  <c r="J21" i="8"/>
  <c r="G24" i="8"/>
  <c r="J129" i="8" s="1"/>
  <c r="G22" i="8"/>
  <c r="J127" i="8" s="1"/>
  <c r="G21" i="8"/>
  <c r="F70" i="8" s="1"/>
  <c r="D15" i="8"/>
  <c r="C22" i="18" s="1"/>
  <c r="D14" i="8"/>
  <c r="C21" i="18" s="1"/>
  <c r="D13" i="8"/>
  <c r="C20" i="18" s="1"/>
  <c r="D12" i="8"/>
  <c r="C19" i="18" s="1"/>
  <c r="D11" i="8"/>
  <c r="C12" i="18" s="1"/>
  <c r="D10" i="8"/>
  <c r="C11" i="18" s="1"/>
  <c r="D9" i="8"/>
  <c r="C10" i="18" s="1"/>
  <c r="Q74" i="15"/>
  <c r="Q75" i="15"/>
  <c r="Q76" i="15" s="1"/>
  <c r="Q77" i="15" s="1"/>
  <c r="Q78" i="15" s="1"/>
  <c r="Q79" i="15" s="1"/>
  <c r="Q80" i="15" s="1"/>
  <c r="Q81" i="15" s="1"/>
  <c r="Q82" i="15" s="1"/>
  <c r="Q83" i="15" s="1"/>
  <c r="Q84" i="15" s="1"/>
  <c r="Q85" i="15" s="1"/>
  <c r="Q86" i="15" s="1"/>
  <c r="Q87" i="15" s="1"/>
  <c r="Q88" i="15" s="1"/>
  <c r="Q56" i="15"/>
  <c r="Q57" i="15" s="1"/>
  <c r="Q58" i="15" s="1"/>
  <c r="Q59" i="15" s="1"/>
  <c r="Q60" i="15" s="1"/>
  <c r="Q61" i="15" s="1"/>
  <c r="Q62" i="15" s="1"/>
  <c r="Q63" i="15" s="1"/>
  <c r="Q64" i="15" s="1"/>
  <c r="Q65" i="15" s="1"/>
  <c r="Q66" i="15" s="1"/>
  <c r="Q67" i="15" s="1"/>
  <c r="Q68" i="15" s="1"/>
  <c r="Q69" i="15" s="1"/>
  <c r="Q70" i="15" s="1"/>
  <c r="Q39" i="15"/>
  <c r="Q40" i="15"/>
  <c r="Q41" i="15" s="1"/>
  <c r="Q42" i="15" s="1"/>
  <c r="Q43" i="15" s="1"/>
  <c r="Q44" i="15" s="1"/>
  <c r="Q45" i="15" s="1"/>
  <c r="Q46" i="15" s="1"/>
  <c r="Q47" i="15" s="1"/>
  <c r="Q48" i="15" s="1"/>
  <c r="Q49" i="15" s="1"/>
  <c r="Q50" i="15" s="1"/>
  <c r="Q51" i="15" s="1"/>
  <c r="Q52" i="15" s="1"/>
  <c r="Q53" i="15" s="1"/>
  <c r="Q54" i="15" s="1"/>
  <c r="L74" i="8"/>
  <c r="G26" i="8"/>
  <c r="G118" i="8" s="1"/>
  <c r="K118" i="8" s="1"/>
  <c r="J88" i="8"/>
  <c r="I88" i="8"/>
  <c r="H88" i="8"/>
  <c r="G88" i="8"/>
  <c r="F88" i="8"/>
  <c r="I64" i="8"/>
  <c r="I65" i="8" s="1"/>
  <c r="G64" i="8"/>
  <c r="G65" i="8" s="1"/>
  <c r="E64" i="8"/>
  <c r="E65" i="8" s="1"/>
  <c r="I59" i="8"/>
  <c r="J59" i="8" s="1"/>
  <c r="I58" i="8"/>
  <c r="J58" i="8" s="1"/>
  <c r="I57" i="8"/>
  <c r="J57" i="8" s="1"/>
  <c r="I56" i="8"/>
  <c r="J56" i="8" s="1"/>
  <c r="I55" i="8"/>
  <c r="J55" i="8" s="1"/>
  <c r="D50" i="8"/>
  <c r="E50" i="8" s="1"/>
  <c r="C50" i="8"/>
  <c r="D49" i="8"/>
  <c r="E49" i="8" s="1"/>
  <c r="C49" i="8"/>
  <c r="D48" i="8"/>
  <c r="E48" i="8" s="1"/>
  <c r="C48" i="8"/>
  <c r="A46" i="8"/>
  <c r="A45" i="8"/>
  <c r="A44" i="8"/>
  <c r="G37" i="8"/>
  <c r="F37" i="8"/>
  <c r="E37" i="8"/>
  <c r="D37" i="8"/>
  <c r="C37" i="8"/>
  <c r="C7" i="17" l="1"/>
  <c r="A41" i="17" s="1"/>
  <c r="C7" i="18"/>
  <c r="A42" i="18" s="1"/>
  <c r="I78" i="8"/>
  <c r="A107" i="18"/>
  <c r="A117" i="18"/>
  <c r="A106" i="17"/>
  <c r="A115" i="17"/>
  <c r="A116" i="18"/>
  <c r="A106" i="18"/>
  <c r="A114" i="17"/>
  <c r="A105" i="17"/>
  <c r="D83" i="18"/>
  <c r="D82" i="17"/>
  <c r="B83" i="18"/>
  <c r="B82" i="17"/>
  <c r="B49" i="8"/>
  <c r="C83" i="18"/>
  <c r="C82" i="17"/>
  <c r="G34" i="8"/>
  <c r="B65" i="18"/>
  <c r="B64" i="17"/>
  <c r="C56" i="18"/>
  <c r="C55" i="17"/>
  <c r="C57" i="18"/>
  <c r="C56" i="17"/>
  <c r="C58" i="18"/>
  <c r="C57" i="17"/>
  <c r="A115" i="18"/>
  <c r="A105" i="18"/>
  <c r="A113" i="17"/>
  <c r="A104" i="17"/>
  <c r="E38" i="8"/>
  <c r="C69" i="18"/>
  <c r="C68" i="17"/>
  <c r="F38" i="8"/>
  <c r="C70" i="18"/>
  <c r="C69" i="17"/>
  <c r="D38" i="8"/>
  <c r="C68" i="18"/>
  <c r="C67" i="17"/>
  <c r="C38" i="8"/>
  <c r="C67" i="18"/>
  <c r="C66" i="17"/>
  <c r="G38" i="8"/>
  <c r="C71" i="18"/>
  <c r="C70" i="17"/>
  <c r="C51" i="18"/>
  <c r="C50" i="17"/>
  <c r="B51" i="18"/>
  <c r="B50" i="17"/>
  <c r="A51" i="18"/>
  <c r="A50" i="17"/>
  <c r="C20" i="17"/>
  <c r="C15" i="17"/>
  <c r="C5" i="17"/>
  <c r="C21" i="17"/>
  <c r="C24" i="17"/>
  <c r="C6" i="17"/>
  <c r="C41" i="17" s="1"/>
  <c r="C19" i="17"/>
  <c r="C22" i="17"/>
  <c r="G80" i="8"/>
  <c r="B48" i="8"/>
  <c r="I80" i="8"/>
  <c r="G70" i="8"/>
  <c r="F48" i="8"/>
  <c r="H74" i="8" s="1"/>
  <c r="G75" i="8"/>
  <c r="F78" i="8"/>
  <c r="J126" i="8"/>
  <c r="B50" i="8"/>
  <c r="F75" i="8"/>
  <c r="H75" i="8"/>
  <c r="J75" i="8"/>
  <c r="I75" i="8"/>
  <c r="I79" i="8"/>
  <c r="H80" i="8"/>
  <c r="K56" i="8"/>
  <c r="D56" i="8"/>
  <c r="I70" i="8"/>
  <c r="H79" i="8"/>
  <c r="D57" i="8"/>
  <c r="K57" i="8"/>
  <c r="B58" i="8"/>
  <c r="H25" i="8"/>
  <c r="B59" i="8" s="1"/>
  <c r="K55" i="8"/>
  <c r="D55" i="8"/>
  <c r="G78" i="8"/>
  <c r="I25" i="8"/>
  <c r="F80" i="8"/>
  <c r="G25" i="8"/>
  <c r="H70" i="8"/>
  <c r="C39" i="8" l="1"/>
  <c r="J73" i="8" s="1"/>
  <c r="K58" i="8"/>
  <c r="B118" i="18" s="1"/>
  <c r="A108" i="18"/>
  <c r="A118" i="18"/>
  <c r="A107" i="17"/>
  <c r="A116" i="17"/>
  <c r="A109" i="18"/>
  <c r="A119" i="18"/>
  <c r="A108" i="17"/>
  <c r="A117" i="17"/>
  <c r="B117" i="18"/>
  <c r="B115" i="17"/>
  <c r="B116" i="17"/>
  <c r="B116" i="18"/>
  <c r="B114" i="17"/>
  <c r="C106" i="18"/>
  <c r="C105" i="17"/>
  <c r="C107" i="18"/>
  <c r="C106" i="17"/>
  <c r="C105" i="18"/>
  <c r="C104" i="17"/>
  <c r="B115" i="18"/>
  <c r="B113" i="17"/>
  <c r="G81" i="8"/>
  <c r="G95" i="8" s="1"/>
  <c r="I81" i="8"/>
  <c r="I95" i="8" s="1"/>
  <c r="F81" i="8"/>
  <c r="F95" i="8" s="1"/>
  <c r="G74" i="8"/>
  <c r="I74" i="8"/>
  <c r="J74" i="8"/>
  <c r="F74" i="8"/>
  <c r="E118" i="8"/>
  <c r="E119" i="8" s="1"/>
  <c r="E57" i="8"/>
  <c r="H81" i="8"/>
  <c r="H95" i="8" s="1"/>
  <c r="E56" i="8"/>
  <c r="L56" i="8"/>
  <c r="D59" i="8"/>
  <c r="K59" i="8"/>
  <c r="L57" i="8"/>
  <c r="D58" i="8"/>
  <c r="L58" i="8"/>
  <c r="L55" i="8"/>
  <c r="J70" i="8"/>
  <c r="J130" i="8"/>
  <c r="J80" i="8"/>
  <c r="J78" i="8"/>
  <c r="J79" i="8"/>
  <c r="E55" i="8"/>
  <c r="J76" i="8" l="1"/>
  <c r="J90" i="8" s="1"/>
  <c r="I73" i="8"/>
  <c r="I76" i="8" s="1"/>
  <c r="I90" i="8" s="1"/>
  <c r="B71" i="17"/>
  <c r="G73" i="8"/>
  <c r="G76" i="8" s="1"/>
  <c r="G90" i="8" s="1"/>
  <c r="H73" i="8"/>
  <c r="H76" i="8" s="1"/>
  <c r="H83" i="8" s="1"/>
  <c r="A112" i="8" s="1"/>
  <c r="F73" i="8"/>
  <c r="F76" i="8" s="1"/>
  <c r="F90" i="8" s="1"/>
  <c r="B72" i="18"/>
  <c r="B119" i="18"/>
  <c r="B117" i="17"/>
  <c r="C109" i="18"/>
  <c r="C108" i="17"/>
  <c r="C108" i="18"/>
  <c r="C107" i="17"/>
  <c r="E58" i="8"/>
  <c r="L59" i="8"/>
  <c r="E59" i="8"/>
  <c r="J81" i="8"/>
  <c r="G83" i="8" l="1"/>
  <c r="G97" i="8" s="1"/>
  <c r="G100" i="8" s="1"/>
  <c r="G104" i="8" s="1"/>
  <c r="G105" i="8" s="1"/>
  <c r="C116" i="18" s="1"/>
  <c r="I83" i="8"/>
  <c r="A113" i="8" s="1"/>
  <c r="C113" i="8" s="1"/>
  <c r="H90" i="8"/>
  <c r="H97" i="8" s="1"/>
  <c r="H100" i="8" s="1"/>
  <c r="H104" i="8" s="1"/>
  <c r="H105" i="8" s="1"/>
  <c r="C117" i="18" s="1"/>
  <c r="F83" i="8"/>
  <c r="C112" i="8"/>
  <c r="B112" i="8"/>
  <c r="J95" i="8"/>
  <c r="J83" i="8"/>
  <c r="I97" i="8" l="1"/>
  <c r="I100" i="8" s="1"/>
  <c r="I104" i="8" s="1"/>
  <c r="I105" i="8" s="1"/>
  <c r="C118" i="18" s="1"/>
  <c r="B113" i="8"/>
  <c r="A111" i="8"/>
  <c r="B111" i="8" s="1"/>
  <c r="C114" i="17"/>
  <c r="C115" i="17"/>
  <c r="A110" i="8"/>
  <c r="F97" i="8"/>
  <c r="A114" i="8"/>
  <c r="J97" i="8"/>
  <c r="J100" i="8" s="1"/>
  <c r="C111" i="8" l="1"/>
  <c r="C116" i="17"/>
  <c r="F100" i="8"/>
  <c r="F104" i="8" s="1"/>
  <c r="F105" i="8" s="1"/>
  <c r="C110" i="8"/>
  <c r="B110" i="8"/>
  <c r="J104" i="8"/>
  <c r="J105" i="8" s="1"/>
  <c r="C119" i="18" s="1"/>
  <c r="B114" i="8"/>
  <c r="C114" i="8"/>
  <c r="C115" i="18" l="1"/>
  <c r="C113" i="17"/>
  <c r="G119" i="8"/>
  <c r="C117" i="17"/>
  <c r="C115" i="8"/>
  <c r="B119" i="8" s="1"/>
  <c r="G133" i="8" s="1"/>
  <c r="B115" i="8"/>
  <c r="B117" i="8" l="1"/>
  <c r="D133" i="8" s="1"/>
  <c r="G114" i="8" l="1"/>
  <c r="G110" i="8"/>
  <c r="G112" i="8"/>
  <c r="G113" i="8"/>
  <c r="G111" i="8"/>
  <c r="B118" i="8"/>
  <c r="D113" i="8" s="1"/>
  <c r="E113" i="8" s="1"/>
  <c r="K129" i="8" s="1"/>
  <c r="F136" i="8"/>
  <c r="F137" i="8" s="1"/>
  <c r="G115" i="8" l="1"/>
  <c r="I118" i="8" s="1"/>
  <c r="I119" i="8" s="1"/>
  <c r="D114" i="8"/>
  <c r="E114" i="8" s="1"/>
  <c r="K130" i="8" s="1"/>
  <c r="D111" i="8"/>
  <c r="E111" i="8" s="1"/>
  <c r="K127" i="8" s="1"/>
  <c r="D110" i="8"/>
  <c r="E110" i="8" s="1"/>
  <c r="D112" i="8"/>
  <c r="E112" i="8" s="1"/>
  <c r="K128" i="8" s="1"/>
  <c r="D123" i="8" l="1"/>
  <c r="F139" i="8" s="1"/>
  <c r="F140" i="8" s="1"/>
  <c r="B148" i="17" s="1"/>
  <c r="D122" i="8"/>
  <c r="H139" i="8" s="1"/>
  <c r="H140" i="8" s="1"/>
  <c r="K126" i="8"/>
  <c r="D148" i="17" l="1"/>
  <c r="D150" i="18"/>
  <c r="H123" i="8"/>
</calcChain>
</file>

<file path=xl/sharedStrings.xml><?xml version="1.0" encoding="utf-8"?>
<sst xmlns="http://schemas.openxmlformats.org/spreadsheetml/2006/main" count="1358" uniqueCount="479">
  <si>
    <t>Clase</t>
  </si>
  <si>
    <t>Serial</t>
  </si>
  <si>
    <t>Certificado N°</t>
  </si>
  <si>
    <t>Fabricante</t>
  </si>
  <si>
    <t>Humedad relativa (%rH)</t>
  </si>
  <si>
    <t>Presión (hPa)</t>
  </si>
  <si>
    <t>Temperatura (°C)</t>
  </si>
  <si>
    <t>Ciudad</t>
  </si>
  <si>
    <t>Solicitante</t>
  </si>
  <si>
    <t>Modelo</t>
  </si>
  <si>
    <t>DATOS DE LA BALANZA A CALIBRAR</t>
  </si>
  <si>
    <t xml:space="preserve"> DATOS DE LOS PATRONES PARA LAS PRUEBAS</t>
  </si>
  <si>
    <t>Cargas para Repetibilidad (g)</t>
  </si>
  <si>
    <t>Incertidumbre (mg)</t>
  </si>
  <si>
    <t>PRUEBA DE EXCENTRICIDAD</t>
  </si>
  <si>
    <t>Posición</t>
  </si>
  <si>
    <t>Diferencia (g)</t>
  </si>
  <si>
    <t>PRUEBA DE REPETIBILIDAD</t>
  </si>
  <si>
    <t>Cargas (g)</t>
  </si>
  <si>
    <t>promedios (g)</t>
  </si>
  <si>
    <t>Indicaciones</t>
  </si>
  <si>
    <t>Excentricidad</t>
  </si>
  <si>
    <t>Repetibilidad</t>
  </si>
  <si>
    <t>PRUEBA DE ERROR DE INDICACIÓN (EXACTITUD)</t>
  </si>
  <si>
    <t>Prueba de error de                  indicación (exactitud)</t>
  </si>
  <si>
    <t>Incertidumbre por pesas patrón</t>
  </si>
  <si>
    <t>incertidumbre                            por empuje</t>
  </si>
  <si>
    <t>Distribución</t>
  </si>
  <si>
    <t>Cargas de prueba (g)</t>
  </si>
  <si>
    <t>GRADOS EFECTIVOS DE LIBERTAD</t>
  </si>
  <si>
    <t>GRADOS EFECTIVOS DE LIBERTAD DEL ERROR</t>
  </si>
  <si>
    <t>FACTOR DE COBERTURA</t>
  </si>
  <si>
    <t>incertidumbre por                              deriva</t>
  </si>
  <si>
    <t>Magnitud</t>
  </si>
  <si>
    <t xml:space="preserve">                       PRESUPUESTO DE INCERTIDUMBRE</t>
  </si>
  <si>
    <t>Error de</t>
  </si>
  <si>
    <t>p</t>
  </si>
  <si>
    <t>pIE</t>
  </si>
  <si>
    <t>Σ</t>
  </si>
  <si>
    <t>≤</t>
  </si>
  <si>
    <t>u(Eappr) a REPORTAR</t>
  </si>
  <si>
    <t>m=</t>
  </si>
  <si>
    <t>b=</t>
  </si>
  <si>
    <t>Beta (β)</t>
  </si>
  <si>
    <t xml:space="preserve">G de libertad </t>
  </si>
  <si>
    <t>Carga max (g)</t>
  </si>
  <si>
    <t>Valor ABS de diferencia</t>
  </si>
  <si>
    <t xml:space="preserve"> (mg)</t>
  </si>
  <si>
    <t>Carga min (g)</t>
  </si>
  <si>
    <t>INCERTIDUMBRE POR INDICACION (mg)</t>
  </si>
  <si>
    <t>n</t>
  </si>
  <si>
    <t>Rectangular</t>
  </si>
  <si>
    <t>Normal</t>
  </si>
  <si>
    <t>k =</t>
  </si>
  <si>
    <t>(g)</t>
  </si>
  <si>
    <t>Carga</t>
  </si>
  <si>
    <t>GRADOS EFECTIVOS DE LIBERTAD POR MASA DE REFERENCIA</t>
  </si>
  <si>
    <t>GRADOS EFECTIVOS DE LIBERTAD POR INDICACION</t>
  </si>
  <si>
    <t xml:space="preserve">Nivel de Confianza                                                                </t>
  </si>
  <si>
    <t>incertidumbre  certificado (mg)</t>
  </si>
  <si>
    <t>CONDICIONES AMBIENTALES INICIALES</t>
  </si>
  <si>
    <t>CONDICIONES AMBIENTALES FINALES</t>
  </si>
  <si>
    <t>s (mg)</t>
  </si>
  <si>
    <t>s (g)</t>
  </si>
  <si>
    <t xml:space="preserve">K mayor </t>
  </si>
  <si>
    <t>APROXIMACIÓN POR LÍNEA RECTA QUE CRUZA EN CERO</t>
  </si>
  <si>
    <t>INCERTIDUMBRE EXPANDIDA DE LOS ERRORES APROXIMADOS  U(Eappr)</t>
  </si>
  <si>
    <t xml:space="preserve">Escalon de Verificación     en  (g)  </t>
  </si>
  <si>
    <t>Carga (g)</t>
  </si>
  <si>
    <t xml:space="preserve">  + </t>
  </si>
  <si>
    <t>R (g)</t>
  </si>
  <si>
    <t>VALIDACIÓN   -   RESULTADOS</t>
  </si>
  <si>
    <t>U (E)  (mg) =</t>
  </si>
  <si>
    <t>x</t>
  </si>
  <si>
    <t>y</t>
  </si>
  <si>
    <t>Dirección</t>
  </si>
  <si>
    <t>Información del Cliente</t>
  </si>
  <si>
    <t xml:space="preserve">Dirección                       </t>
  </si>
  <si>
    <t xml:space="preserve">Ciudad                          </t>
  </si>
  <si>
    <t>Fecha de recepción</t>
  </si>
  <si>
    <t xml:space="preserve">Fabricante </t>
  </si>
  <si>
    <t>Serie</t>
  </si>
  <si>
    <t>Fecha de calibración</t>
  </si>
  <si>
    <t>En la calibración se utilizo el método de comparación directa con masa patrón</t>
  </si>
  <si>
    <t>TEMPERATURA °C</t>
  </si>
  <si>
    <t>HUMEDAD RELATIVA % rH</t>
  </si>
  <si>
    <t>PRESIÓN ATMOSFÉRICA  hPa</t>
  </si>
  <si>
    <t>No CERTIFICADO</t>
  </si>
  <si>
    <t>g</t>
  </si>
  <si>
    <t>Figura 1</t>
  </si>
  <si>
    <t>Prueba de excentricidad.</t>
  </si>
  <si>
    <t>INDICACIÓN g</t>
  </si>
  <si>
    <t>Prueba de repetibilidad.</t>
  </si>
  <si>
    <t>La incertidumbre estándar del error obtenida durante el ejercicio de calibración, debe incrementarse por la adición de la incertidumbre estándar de la lectura, ver modelo.</t>
  </si>
  <si>
    <t>s (R )</t>
  </si>
  <si>
    <t>Desviación estándar del usuario</t>
  </si>
  <si>
    <t>d</t>
  </si>
  <si>
    <t>Resolución de la balanza</t>
  </si>
  <si>
    <t>__________________________________</t>
  </si>
  <si>
    <t>Carga para excentricidad    (g)</t>
  </si>
  <si>
    <t>Valor nominal Cargas de    prueba (g) mN</t>
  </si>
  <si>
    <t>Grados efectivos de libertad de Excentricidad</t>
  </si>
  <si>
    <t>Grados efectivos de libertad de Repetibilidad</t>
  </si>
  <si>
    <t>Grados efectivos de libertad de Resolución</t>
  </si>
  <si>
    <t>Grados efectivos de libertad de Pesas</t>
  </si>
  <si>
    <t>Grados efectivos de libertad de Empuje</t>
  </si>
  <si>
    <t>Grados efectivos de libertad de Deriva</t>
  </si>
  <si>
    <t>ANTES DE AJUSTE</t>
  </si>
  <si>
    <t>Grados efectivos de libertad   Ʋ= n-3</t>
  </si>
  <si>
    <t>y = m x   +   b</t>
  </si>
  <si>
    <t>u2(a1) =</t>
  </si>
  <si>
    <t xml:space="preserve">  la  pendiente</t>
  </si>
  <si>
    <t>punto  de  corte</t>
  </si>
  <si>
    <t>N=</t>
  </si>
  <si>
    <t xml:space="preserve">Observaciones </t>
  </si>
  <si>
    <t>Calibrado por</t>
  </si>
  <si>
    <t>según certificado</t>
  </si>
  <si>
    <t xml:space="preserve">Carga Max                      </t>
  </si>
  <si>
    <t xml:space="preserve">Carga Min                       </t>
  </si>
  <si>
    <t xml:space="preserve">División de Escala          </t>
  </si>
  <si>
    <t xml:space="preserve">Escalón de verificación    </t>
  </si>
  <si>
    <t>1.   DESCRIPCIÓN DEL EQUIPO</t>
  </si>
  <si>
    <t>Objeto</t>
  </si>
  <si>
    <t>4.   MÉTODO DE CALIBRACIÓN UTILIZADO</t>
  </si>
  <si>
    <t>5.   PROCEDIMIENTO DE CALIBRACIÓN</t>
  </si>
  <si>
    <t>9.   TRAZABILIDAD DEL PATRON QUE SE USO EN LA CALIBRACIÓN.</t>
  </si>
  <si>
    <t>10.   RESULTADOS DE MEDICIÓN.</t>
  </si>
  <si>
    <t>mg</t>
  </si>
  <si>
    <t>7.   CONDICIONES DE MEDICIÓN:</t>
  </si>
  <si>
    <t xml:space="preserve">    ______________________________</t>
  </si>
  <si>
    <t>E (R)  (mg) =</t>
  </si>
  <si>
    <t xml:space="preserve">                    Firma Autorizada</t>
  </si>
  <si>
    <t>………………………………..FIN DE ESTE DOCUMENTO………………………………..</t>
  </si>
  <si>
    <t>FECHA DE CALIBRACIÓN</t>
  </si>
  <si>
    <t>CLASE DE PESAS</t>
  </si>
  <si>
    <r>
      <t>Masa  Convencional (g)  m</t>
    </r>
    <r>
      <rPr>
        <vertAlign val="subscript"/>
        <sz val="11"/>
        <rFont val="Arial"/>
        <family val="2"/>
      </rPr>
      <t>c</t>
    </r>
  </si>
  <si>
    <r>
      <t>m</t>
    </r>
    <r>
      <rPr>
        <vertAlign val="subscript"/>
        <sz val="11"/>
        <color theme="1"/>
        <rFont val="Arial"/>
        <family val="2"/>
      </rPr>
      <t>c</t>
    </r>
  </si>
  <si>
    <r>
      <t>pI</t>
    </r>
    <r>
      <rPr>
        <b/>
        <i/>
        <vertAlign val="superscript"/>
        <sz val="11"/>
        <color theme="1"/>
        <rFont val="Arial"/>
        <family val="2"/>
      </rPr>
      <t>2</t>
    </r>
  </si>
  <si>
    <r>
      <t>u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(Eappr)</t>
    </r>
  </si>
  <si>
    <r>
      <t>min X2 = min Chi</t>
    </r>
    <r>
      <rPr>
        <b/>
        <i/>
        <vertAlign val="superscript"/>
        <sz val="11"/>
        <rFont val="Arial"/>
        <family val="2"/>
      </rPr>
      <t>2</t>
    </r>
  </si>
  <si>
    <r>
      <t>min X</t>
    </r>
    <r>
      <rPr>
        <b/>
        <i/>
        <vertAlign val="superscript"/>
        <sz val="11"/>
        <color theme="0"/>
        <rFont val="Arial"/>
        <family val="2"/>
      </rPr>
      <t>2</t>
    </r>
    <r>
      <rPr>
        <b/>
        <i/>
        <sz val="11"/>
        <color theme="0"/>
        <rFont val="Arial"/>
        <family val="2"/>
      </rPr>
      <t xml:space="preserve">  =</t>
    </r>
  </si>
  <si>
    <r>
      <t>a</t>
    </r>
    <r>
      <rPr>
        <b/>
        <i/>
        <vertAlign val="subscript"/>
        <sz val="11"/>
        <color theme="0"/>
        <rFont val="Arial"/>
        <family val="2"/>
      </rPr>
      <t xml:space="preserve">1    </t>
    </r>
  </si>
  <si>
    <r>
      <t>a</t>
    </r>
    <r>
      <rPr>
        <b/>
        <i/>
        <vertAlign val="subscript"/>
        <sz val="11"/>
        <color theme="1"/>
        <rFont val="Arial"/>
        <family val="2"/>
      </rPr>
      <t>1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=</t>
    </r>
  </si>
  <si>
    <r>
      <t>u</t>
    </r>
    <r>
      <rPr>
        <b/>
        <i/>
        <vertAlign val="superscript"/>
        <sz val="11"/>
        <color theme="0"/>
        <rFont val="Arial"/>
        <family val="2"/>
      </rPr>
      <t>2</t>
    </r>
    <r>
      <rPr>
        <b/>
        <i/>
        <sz val="11"/>
        <color theme="0"/>
        <rFont val="Arial"/>
        <family val="2"/>
      </rPr>
      <t>(R) =</t>
    </r>
  </si>
  <si>
    <r>
      <t>u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(R(dys)) =</t>
    </r>
  </si>
  <si>
    <r>
      <t>u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(Eappr)</t>
    </r>
  </si>
  <si>
    <r>
      <t>R</t>
    </r>
    <r>
      <rPr>
        <b/>
        <vertAlign val="superscript"/>
        <sz val="11"/>
        <rFont val="Arial"/>
        <family val="2"/>
      </rPr>
      <t>2</t>
    </r>
  </si>
  <si>
    <t>DIF. (g)</t>
  </si>
  <si>
    <t>Sartorius</t>
  </si>
  <si>
    <t>Indicación 1(g)</t>
  </si>
  <si>
    <t>Información</t>
  </si>
  <si>
    <t>No</t>
  </si>
  <si>
    <t>Fecha de Recepción</t>
  </si>
  <si>
    <t>Lugar de Calibración</t>
  </si>
  <si>
    <t>Codigo interno</t>
  </si>
  <si>
    <t>Certificado</t>
  </si>
  <si>
    <t>Pesas</t>
  </si>
  <si>
    <t>Marcación</t>
  </si>
  <si>
    <t>Valor nominal (g)</t>
  </si>
  <si>
    <t>Error (mg)</t>
  </si>
  <si>
    <t>Incertidumbre de calibración (mg)</t>
  </si>
  <si>
    <t>Identificación Interna</t>
  </si>
  <si>
    <t xml:space="preserve">E2   1 g  </t>
  </si>
  <si>
    <t>E 2</t>
  </si>
  <si>
    <t>AJS</t>
  </si>
  <si>
    <t>M-001</t>
  </si>
  <si>
    <t xml:space="preserve">E2   2 g  </t>
  </si>
  <si>
    <t>AKI</t>
  </si>
  <si>
    <t xml:space="preserve">E2   2 g punto </t>
  </si>
  <si>
    <t>AKJ</t>
  </si>
  <si>
    <t xml:space="preserve">E2   5 g  </t>
  </si>
  <si>
    <t>AGU</t>
  </si>
  <si>
    <t xml:space="preserve">E2   10 g  </t>
  </si>
  <si>
    <t>AH3</t>
  </si>
  <si>
    <t xml:space="preserve">E2   20 g  </t>
  </si>
  <si>
    <t>AJ1</t>
  </si>
  <si>
    <t xml:space="preserve">E2   20 g punto </t>
  </si>
  <si>
    <t>AKA</t>
  </si>
  <si>
    <t xml:space="preserve">E2   50 g  </t>
  </si>
  <si>
    <t>AHL</t>
  </si>
  <si>
    <t xml:space="preserve">E2   100 g  </t>
  </si>
  <si>
    <t>AJG</t>
  </si>
  <si>
    <t xml:space="preserve">E2   200 g  </t>
  </si>
  <si>
    <t>ALZ</t>
  </si>
  <si>
    <t xml:space="preserve">E2   200 g punto </t>
  </si>
  <si>
    <t>ALW</t>
  </si>
  <si>
    <t xml:space="preserve">E2   500 g  </t>
  </si>
  <si>
    <t>ACT</t>
  </si>
  <si>
    <t xml:space="preserve">E2   1000 g  </t>
  </si>
  <si>
    <t>ABN</t>
  </si>
  <si>
    <t xml:space="preserve">E2   2000 g  </t>
  </si>
  <si>
    <t>AC1</t>
  </si>
  <si>
    <t xml:space="preserve">E2   2000 g punto </t>
  </si>
  <si>
    <t>ABY</t>
  </si>
  <si>
    <t xml:space="preserve">E2   5000 g  </t>
  </si>
  <si>
    <t>AB9</t>
  </si>
  <si>
    <t>E2   10000 g</t>
  </si>
  <si>
    <t>AAM</t>
  </si>
  <si>
    <t xml:space="preserve">F1   1 g  </t>
  </si>
  <si>
    <t>F 1</t>
  </si>
  <si>
    <t>M-002</t>
  </si>
  <si>
    <t xml:space="preserve">F1   2 g  </t>
  </si>
  <si>
    <t xml:space="preserve">F1   2 g punto </t>
  </si>
  <si>
    <t>2*</t>
  </si>
  <si>
    <t xml:space="preserve">F1   5 g  </t>
  </si>
  <si>
    <t>Intervalo de Medición (g) Clase M1</t>
  </si>
  <si>
    <t xml:space="preserve">F1   10 g  </t>
  </si>
  <si>
    <t>A</t>
  </si>
  <si>
    <t xml:space="preserve">F1   20 g  </t>
  </si>
  <si>
    <t xml:space="preserve">F1   20 g punto </t>
  </si>
  <si>
    <t>20*</t>
  </si>
  <si>
    <t xml:space="preserve">F1   50 g  </t>
  </si>
  <si>
    <t xml:space="preserve">F1   100 g  </t>
  </si>
  <si>
    <t>N °  Certificado Aderido</t>
  </si>
  <si>
    <t xml:space="preserve">F1   200 g  </t>
  </si>
  <si>
    <t xml:space="preserve">F1   200 g punto </t>
  </si>
  <si>
    <t>200*</t>
  </si>
  <si>
    <t xml:space="preserve">F1   500 g  </t>
  </si>
  <si>
    <t xml:space="preserve">F1   1000 g  </t>
  </si>
  <si>
    <t xml:space="preserve">F1   2000 g  </t>
  </si>
  <si>
    <t xml:space="preserve">F1   2000 g punto </t>
  </si>
  <si>
    <t xml:space="preserve">F1   5000 g  </t>
  </si>
  <si>
    <t>F1   10000 g</t>
  </si>
  <si>
    <t>M-003</t>
  </si>
  <si>
    <t>F1   20000 g</t>
  </si>
  <si>
    <t>M-004</t>
  </si>
  <si>
    <t xml:space="preserve">F1 R  1 g  </t>
  </si>
  <si>
    <t>Rice Lake</t>
  </si>
  <si>
    <t>No identifica</t>
  </si>
  <si>
    <t>No porta</t>
  </si>
  <si>
    <t>Cap-376-16</t>
  </si>
  <si>
    <t>M-016</t>
  </si>
  <si>
    <t xml:space="preserve">F1 R  2 g  </t>
  </si>
  <si>
    <t xml:space="preserve">F1 R  2 g punto </t>
  </si>
  <si>
    <t>punto</t>
  </si>
  <si>
    <t xml:space="preserve">F1 R  5 g  </t>
  </si>
  <si>
    <t xml:space="preserve">F1 R  10 g  </t>
  </si>
  <si>
    <t xml:space="preserve">F1 R  20 g  </t>
  </si>
  <si>
    <t xml:space="preserve">F1 R  20 g punto </t>
  </si>
  <si>
    <t xml:space="preserve">F1 R  50 g  </t>
  </si>
  <si>
    <t xml:space="preserve">F1 R  100 g  </t>
  </si>
  <si>
    <t xml:space="preserve">F1 R  200 g  </t>
  </si>
  <si>
    <t xml:space="preserve">F1 R  200 g punto </t>
  </si>
  <si>
    <t xml:space="preserve">F1 R  500 g  </t>
  </si>
  <si>
    <t xml:space="preserve">F1 R  1000 g  </t>
  </si>
  <si>
    <t xml:space="preserve">F1 R  2000 g  </t>
  </si>
  <si>
    <t xml:space="preserve">F1 R  2000 g punto </t>
  </si>
  <si>
    <t xml:space="preserve">F1 R  5000 g  </t>
  </si>
  <si>
    <t>Metrologos</t>
  </si>
  <si>
    <t>Nombre del Metrologo</t>
  </si>
  <si>
    <t>AV</t>
  </si>
  <si>
    <t>Arcesio Velandia Carreño</t>
  </si>
  <si>
    <t xml:space="preserve"> Director Tecnico / Sust SGL</t>
  </si>
  <si>
    <t>LH</t>
  </si>
  <si>
    <t>Luis Henry Barreto Rojas</t>
  </si>
  <si>
    <t xml:space="preserve"> Sistema de Gestión / Sust Dir Tecnico</t>
  </si>
  <si>
    <t>PV</t>
  </si>
  <si>
    <t>Pedro Jose Vargas Lopéz</t>
  </si>
  <si>
    <t>Lab Volumen / Sust Lab Masa</t>
  </si>
  <si>
    <t>EA</t>
  </si>
  <si>
    <t>Elvis Aguirre Romero</t>
  </si>
  <si>
    <t xml:space="preserve"> Lab Masa / Sust Lab Volumen</t>
  </si>
  <si>
    <t>Patron Utilizado en la Calibración - Termohigrometros</t>
  </si>
  <si>
    <t>Identificación / Serie</t>
  </si>
  <si>
    <t>Capacidad (Según Certificado)</t>
  </si>
  <si>
    <t>División de Escala / Resolución</t>
  </si>
  <si>
    <t>Corrección (Según Certificado)</t>
  </si>
  <si>
    <t>Incertidumbre del Certificado</t>
  </si>
  <si>
    <t>Factor de Cobertura (Según Certificado)</t>
  </si>
  <si>
    <t>Fecha de Calibración</t>
  </si>
  <si>
    <t>Trazabilidad y numero</t>
  </si>
  <si>
    <t>Lufft Opus 20</t>
  </si>
  <si>
    <t>Datos de la Balanza a Calibrar</t>
  </si>
  <si>
    <t>Viajeras F1  5 g</t>
  </si>
  <si>
    <t>Viajeras F1  200 g</t>
  </si>
  <si>
    <t>Viajeras F1  1 kg</t>
  </si>
  <si>
    <t>Viajeras F1  2 kg</t>
  </si>
  <si>
    <t>Viajeras F1  5 kg</t>
  </si>
  <si>
    <t>F1</t>
  </si>
  <si>
    <t>Datos de las Pesas Patrón</t>
  </si>
  <si>
    <t>Carga para Excentricidad g</t>
  </si>
  <si>
    <t>Carga para Repetibilidad g</t>
  </si>
  <si>
    <t>CMC Balanza</t>
  </si>
  <si>
    <t xml:space="preserve">Division de Escala (d)  (g)  </t>
  </si>
  <si>
    <t>CAP-377-16</t>
  </si>
  <si>
    <t>M-015</t>
  </si>
  <si>
    <t>Masa Convensional (g)</t>
  </si>
  <si>
    <r>
      <t>m</t>
    </r>
    <r>
      <rPr>
        <vertAlign val="subscript"/>
        <sz val="11"/>
        <color theme="1"/>
        <rFont val="Arial"/>
        <family val="2"/>
      </rPr>
      <t>N (g)</t>
    </r>
  </si>
  <si>
    <t>DATOS DE LAS PESAS PATRÓN</t>
  </si>
  <si>
    <t>Juego Viajeras</t>
  </si>
  <si>
    <t>Juego de Pesas</t>
  </si>
  <si>
    <t>Vansolix  S.A</t>
  </si>
  <si>
    <t xml:space="preserve">INM </t>
  </si>
  <si>
    <t xml:space="preserve"> Juego Patron de Referencia</t>
  </si>
  <si>
    <t>Juego patron de Trabajo 1</t>
  </si>
  <si>
    <t>Juego patron de Trabajo 2</t>
  </si>
  <si>
    <t>Patron de Trabajo</t>
  </si>
  <si>
    <t>Mettler Toledo</t>
  </si>
  <si>
    <t>No identificado</t>
  </si>
  <si>
    <t>0,22.0714.0802.024</t>
  </si>
  <si>
    <t>INM 1995</t>
  </si>
  <si>
    <t>INM 1997</t>
  </si>
  <si>
    <t>INM 2147</t>
  </si>
  <si>
    <t>0,26.0714.0802.024</t>
  </si>
  <si>
    <t>INM 1996</t>
  </si>
  <si>
    <t>INM 1999</t>
  </si>
  <si>
    <t>INM 2148</t>
  </si>
  <si>
    <t>CAH-061-16</t>
  </si>
  <si>
    <t>CAT-145-16</t>
  </si>
  <si>
    <t>CDT CERT-16-EMP-1057-2567</t>
  </si>
  <si>
    <t>CAT-144-16</t>
  </si>
  <si>
    <t>CAH-060-16</t>
  </si>
  <si>
    <t>CDT CERT-16-EMP-1056-2567</t>
  </si>
  <si>
    <t>0,23.0714.0802.024</t>
  </si>
  <si>
    <t>INM 1998</t>
  </si>
  <si>
    <t>INM 2149</t>
  </si>
  <si>
    <t>Código interno</t>
  </si>
  <si>
    <t xml:space="preserve">División de Escala (d)                  en (g)  </t>
  </si>
  <si>
    <t xml:space="preserve">Escalón de Verificación     en  (g)  </t>
  </si>
  <si>
    <t>Cargas para Error de Indicación (Exactitud)                                         según certificado</t>
  </si>
  <si>
    <t>Marcación de la pesa</t>
  </si>
  <si>
    <t>Indicación (g)</t>
  </si>
  <si>
    <t>s máxima (mg)</t>
  </si>
  <si>
    <t>Indicación 2(g)</t>
  </si>
  <si>
    <r>
      <t>Densidad del aire kg/m</t>
    </r>
    <r>
      <rPr>
        <b/>
        <vertAlign val="superscript"/>
        <sz val="12"/>
        <rFont val="Arial"/>
        <family val="2"/>
      </rPr>
      <t>3</t>
    </r>
  </si>
  <si>
    <r>
      <t xml:space="preserve">Unidades en   " °C ,  rH%  </t>
    </r>
    <r>
      <rPr>
        <sz val="14"/>
        <rFont val="Arial"/>
        <family val="2"/>
      </rPr>
      <t>y</t>
    </r>
    <r>
      <rPr>
        <b/>
        <sz val="14"/>
        <rFont val="Arial"/>
        <family val="2"/>
      </rPr>
      <t xml:space="preserve"> hPa " </t>
    </r>
    <r>
      <rPr>
        <sz val="14"/>
        <rFont val="Arial"/>
        <family val="2"/>
      </rPr>
      <t xml:space="preserve"> según corresponda</t>
    </r>
  </si>
  <si>
    <t>U (g)</t>
  </si>
  <si>
    <t>ERROR (g)</t>
  </si>
  <si>
    <t>Carga máx. (g)</t>
  </si>
  <si>
    <t>DATOS TERMOHIGRÓMETRO - BARÓMETRO</t>
  </si>
  <si>
    <t>Fecha Certificado</t>
  </si>
  <si>
    <t>M-010</t>
  </si>
  <si>
    <t>Incertidumbre   U=(k=2)</t>
  </si>
  <si>
    <t>8.   CONDICIONES AMBIENTALES CORREGIDAS.</t>
  </si>
  <si>
    <t>CAT-144-16 - CAH-060-16 - CDT CERT-16-EMP-1056-2567</t>
  </si>
  <si>
    <t xml:space="preserve">M-012  </t>
  </si>
  <si>
    <t>°C</t>
  </si>
  <si>
    <t>%Rh</t>
  </si>
  <si>
    <t>hPa</t>
  </si>
  <si>
    <t>Temperatura</t>
  </si>
  <si>
    <t>Humedad</t>
  </si>
  <si>
    <t>2016-11-01 - 2016-11-02 -    2016-10-28</t>
  </si>
  <si>
    <t>Codigo Interno</t>
  </si>
  <si>
    <t xml:space="preserve">  V-002 </t>
  </si>
  <si>
    <t>2016-07-29 - 2016-08-04 -    2016-09-12</t>
  </si>
  <si>
    <t>INM 1995-1998-2149</t>
  </si>
  <si>
    <t>Presión Admosferica</t>
  </si>
  <si>
    <t xml:space="preserve">M-012 </t>
  </si>
  <si>
    <t xml:space="preserve">M-013 </t>
  </si>
  <si>
    <t>2016-10-31 - 2016-10-31 -    2016-10-28</t>
  </si>
  <si>
    <t>CAT-144-16 - CAH-060-16 - CDT CERT-16-EMP-1057-2567</t>
  </si>
  <si>
    <t xml:space="preserve">M-010 </t>
  </si>
  <si>
    <t>INM-1996</t>
  </si>
  <si>
    <t>INM 1996-1999-2148</t>
  </si>
  <si>
    <t>INM- 1999</t>
  </si>
  <si>
    <t>INM - 2148</t>
  </si>
  <si>
    <t xml:space="preserve">M-011 </t>
  </si>
  <si>
    <t>INM-1994</t>
  </si>
  <si>
    <t>2016-08-04 - 2016-08-04 -    2016-09-12</t>
  </si>
  <si>
    <t>INM-1994-1997-2147</t>
  </si>
  <si>
    <t>INM-1997</t>
  </si>
  <si>
    <t>INM-2147</t>
  </si>
  <si>
    <t>V-002</t>
  </si>
  <si>
    <t xml:space="preserve">M-013  </t>
  </si>
  <si>
    <t>M-011</t>
  </si>
  <si>
    <t>INCERTIDUMBRE EXPANDIDA (mg)</t>
  </si>
  <si>
    <t>INCERTIDUMBRE EXPANDIDA (g)</t>
  </si>
  <si>
    <t xml:space="preserve">Promedio Condiciones Ambientales </t>
  </si>
  <si>
    <t>Promedio Condiciones Ambientales Corregidas</t>
  </si>
  <si>
    <t>condiciones de medición</t>
  </si>
  <si>
    <t>K</t>
  </si>
  <si>
    <t>Nivel de Confianza</t>
  </si>
  <si>
    <r>
      <t xml:space="preserve">Hora </t>
    </r>
    <r>
      <rPr>
        <b/>
        <sz val="12"/>
        <rFont val="Arial"/>
        <family val="2"/>
      </rPr>
      <t>final</t>
    </r>
  </si>
  <si>
    <t>Hora inicial</t>
  </si>
  <si>
    <t xml:space="preserve">La prueba para los errores de las indicaciones se realizó según el numeral  5,2. de la Guía SIM MWG7/cg-01/v.00 </t>
  </si>
  <si>
    <t>Error de Indicación en g</t>
  </si>
  <si>
    <t>U (E)  (g) =</t>
  </si>
  <si>
    <t>masa para completar la carga  Max (g)</t>
  </si>
  <si>
    <t>HOJA DE CÁLCULO PARA CALIBRACIÓN DE BALANZAS</t>
  </si>
  <si>
    <t>Metrólogo</t>
  </si>
  <si>
    <t>INM</t>
  </si>
  <si>
    <t>1403 DK</t>
  </si>
  <si>
    <t>1393 DK</t>
  </si>
  <si>
    <t>1402 DK</t>
  </si>
  <si>
    <t>1396 DK</t>
  </si>
  <si>
    <t>1392 DK</t>
  </si>
  <si>
    <t>R (mg)</t>
  </si>
  <si>
    <t>E (R)  (g) =</t>
  </si>
  <si>
    <t>2.   CÓDIGO INTERNO</t>
  </si>
  <si>
    <t>INM 3392</t>
  </si>
  <si>
    <t>INM 3399</t>
  </si>
  <si>
    <t>INM 3391</t>
  </si>
  <si>
    <t>INM 3398</t>
  </si>
  <si>
    <t>INM 3411</t>
  </si>
  <si>
    <t>INM 3412</t>
  </si>
  <si>
    <t>INM 3375</t>
  </si>
  <si>
    <t>INM 3381</t>
  </si>
  <si>
    <t>INM 3374</t>
  </si>
  <si>
    <t>INM 3379</t>
  </si>
  <si>
    <t xml:space="preserve"> Juego Patrón de Referencia</t>
  </si>
  <si>
    <t>Juego patrón de Trabajo 1</t>
  </si>
  <si>
    <t>Patrón de Trabajo</t>
  </si>
  <si>
    <t>Juego patrón de Trabajo 2</t>
  </si>
  <si>
    <t>Patrón Utilizado en la Calibración - Termo higrómetros</t>
  </si>
  <si>
    <t>Código Interno</t>
  </si>
  <si>
    <t>Presión Atmosférica</t>
  </si>
  <si>
    <t>Metrólogos</t>
  </si>
  <si>
    <t>Nombre del Metrologó</t>
  </si>
  <si>
    <t>Carga Max (g)</t>
  </si>
  <si>
    <t xml:space="preserve">División de Escala (d)  (g)  </t>
  </si>
  <si>
    <t>N °  Certificado Adherido</t>
  </si>
  <si>
    <t xml:space="preserve">Solicitante                    </t>
  </si>
  <si>
    <t>INCERTIDUMBRE ESTÁNDAR MASA DE REFERENCIA   (mg)</t>
  </si>
  <si>
    <t>INCERTIDUMBRE ESTÁNDAR DEL ERROR   (mg)</t>
  </si>
  <si>
    <t>APROXIMACION POR LINEA RECTA QUE CRUZA POR CERO PARA EL ERROR   (mg)</t>
  </si>
  <si>
    <t>Balanza Digital</t>
  </si>
  <si>
    <t>1405 DK</t>
  </si>
  <si>
    <t>Antes de Ajuste</t>
  </si>
  <si>
    <t>La prueba consiste en la colocación repetitiva de la misma carga en el receptor de carga, bajo condiciones idénticas de manejo de la carga y del instrumento, y bajo las mismas condiciones de prueba, tanto como sea posible. Esta prueba fue realizada según numeral 5,1. de la Guía SIM MWG7/cg-01/v.00.</t>
  </si>
  <si>
    <t>Después de Ajuste</t>
  </si>
  <si>
    <t xml:space="preserve"> PRUEBA DE EXCENTRICIDAD</t>
  </si>
  <si>
    <t xml:space="preserve">  PRUEBA DE REPETIBILIDAD</t>
  </si>
  <si>
    <t>PRUEBA DE ERROR DE INDICACIÓN</t>
  </si>
  <si>
    <t>Óptimas</t>
  </si>
  <si>
    <t>+</t>
  </si>
  <si>
    <t>Medición en condición de calibración</t>
  </si>
  <si>
    <t>• Revisar periódicamente el comportamiento de la balanza mediante el control de pesas calibradas.
• El desplazamiento de la  balanza a otro lugar con otras condiciones puede invalidar la calibración.
• La conformidad del equipo es responsabilidad del usuario, según el uso y tolerancias establecidas en los procesos.
• La balanza debe ubicarse en una base apropiada para evitar vibraciones.
• En este certificado el signo decimal es la coma (,).
• Revisar periódicamente el comportamiento de la balanza mediante el control de pesas calibrada
• El desplazamiento de la  balanza a otro lugar con otras condiciones puede invalidar la calibración
• La conformidad del equipo es responsabilidad del usuario según el uso y tolerancias establecidas en los procesos.
• La balanza debe ubicarse en una base apropiada para evitar vibraciones.
• En este certificado el signo decimal es la coma (,).
• El usuario está obligado a calibrar sus instrumentos a intervalos apropiados.</t>
  </si>
  <si>
    <t>Para la calibración de balanzas se utilizó, la guía para la calibración de los instrumentos para pesaje de funcionamiento no automático (SIM MWG7/cg-01v.00) y el procedimiento interno RT03-P05, versión: 3, aplicando las siguientes pruebas: excentricidad, repetibilidad y error de indicación.</t>
  </si>
  <si>
    <t>Suplemento de Certificado N°</t>
  </si>
  <si>
    <t>Este suplemento de certificado de calibración documenta que el instrumento se examinó y  se comparó en las instalaciones del usuario. Los patrones empleados en la calibración, documentan la trazabilidad conforme  al Sistema Internacional de Unidades (SI).</t>
  </si>
  <si>
    <t>6.   LUGAR Y DIRECCIÓN DE CALIBRACIÓN</t>
  </si>
  <si>
    <t>Esta prueba evalúa las indicaciones de una misma carga ubicada en diferentes posiciones del receptor de carga (figura 1), se realizó con (1/3) un tercio de la carga máxima de acuerdo a la Guía SIM MWG7/cg-01/v.00, numeral 5.3.</t>
  </si>
  <si>
    <t>REPETICIÓN. N°</t>
  </si>
  <si>
    <t xml:space="preserve">       Calibrado por:</t>
  </si>
  <si>
    <t xml:space="preserve"> Certificado N°</t>
  </si>
  <si>
    <t xml:space="preserve"> Fecha de elaboración: </t>
  </si>
  <si>
    <t>El equipo se encuentra en buenas condiciones.</t>
  </si>
  <si>
    <t>Este certificado de calibración documenta que el instrumento se examinó y  se comparó en las instalaciones del usuario. Los patrones empleados en la calibración, documentan la trazabilidad conforme  al Sistema Internacional de Unidades (SI).</t>
  </si>
  <si>
    <t>DESPUÉS DE AJUSTE</t>
  </si>
  <si>
    <t>INM 2268</t>
  </si>
  <si>
    <t>2018-06-07 / - 2018-06-13 -    2018-08-21</t>
  </si>
  <si>
    <t>INM  3392- 3399-2268</t>
  </si>
  <si>
    <t>INM 2266</t>
  </si>
  <si>
    <t>2018-06-07 /-  2018-06-13 -/  2018-08-21</t>
  </si>
  <si>
    <t>INM-3391, INM 3398 - INM 2266</t>
  </si>
  <si>
    <t>INM 2267</t>
  </si>
  <si>
    <t>2018-06-14 - / 2018-06-15 -    2018-08-21</t>
  </si>
  <si>
    <t>INM 3411 - INM 3412 -  INM 2267</t>
  </si>
  <si>
    <t>INM - 2264</t>
  </si>
  <si>
    <t>2018/06/15- 2018/06/15-    2018-08-21</t>
  </si>
  <si>
    <t>INM 3375 - INM 3381 -   INM 2264</t>
  </si>
  <si>
    <t>INM 2265</t>
  </si>
  <si>
    <t>2018-06-01 -/  2018-06-06 -   2018-08-21</t>
  </si>
  <si>
    <t>INM-3374-INM 3379-INM 2265</t>
  </si>
  <si>
    <t>°C m</t>
  </si>
  <si>
    <t>°C b</t>
  </si>
  <si>
    <t>%rH m</t>
  </si>
  <si>
    <t>%rH b</t>
  </si>
  <si>
    <t>hPa m</t>
  </si>
  <si>
    <t>hPa b</t>
  </si>
  <si>
    <r>
      <t xml:space="preserve">3.   RESULTADOS DEL EXAMEN FÍSICO </t>
    </r>
    <r>
      <rPr>
        <sz val="12"/>
        <rFont val="Arial"/>
        <family val="2"/>
      </rPr>
      <t xml:space="preserve">         </t>
    </r>
  </si>
  <si>
    <r>
      <rPr>
        <b/>
        <sz val="9"/>
        <rFont val="Arial"/>
        <family val="2"/>
      </rPr>
      <t>NOTA</t>
    </r>
    <r>
      <rPr>
        <sz val="9"/>
        <rFont val="Arial"/>
        <family val="2"/>
      </rPr>
      <t>: Las condiciones ambientales se refieren al sitio y momento de la calibración.</t>
    </r>
  </si>
  <si>
    <r>
      <rPr>
        <b/>
        <i/>
        <sz val="12"/>
        <rFont val="Arial"/>
        <family val="2"/>
      </rPr>
      <t>W</t>
    </r>
    <r>
      <rPr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*</t>
    </r>
  </si>
  <si>
    <t xml:space="preserve"> Director Técnico </t>
  </si>
  <si>
    <t xml:space="preserve"> Metrólogo de Masa y Volumen</t>
  </si>
  <si>
    <t xml:space="preserve"> Sustituto del Director Técnico </t>
  </si>
  <si>
    <r>
      <t xml:space="preserve">Unidades en   " °C ,  rH%  </t>
    </r>
    <r>
      <rPr>
        <sz val="14"/>
        <color theme="0"/>
        <rFont val="Arial"/>
        <family val="2"/>
      </rPr>
      <t>y</t>
    </r>
    <r>
      <rPr>
        <b/>
        <sz val="14"/>
        <color theme="0"/>
        <rFont val="Arial"/>
        <family val="2"/>
      </rPr>
      <t xml:space="preserve"> hPa " </t>
    </r>
    <r>
      <rPr>
        <sz val="14"/>
        <color theme="0"/>
        <rFont val="Arial"/>
        <family val="2"/>
      </rPr>
      <t xml:space="preserve"> según corresponda</t>
    </r>
  </si>
  <si>
    <t>E2   2 g AKJ</t>
  </si>
  <si>
    <t>E2   20 g AKA</t>
  </si>
  <si>
    <t>E2   200 g ALW</t>
  </si>
  <si>
    <t>E2   2000 g ABY</t>
  </si>
  <si>
    <t>u (mg)</t>
  </si>
  <si>
    <t>En la calibración se utilizo el método de comparación directa con masa patrón.</t>
  </si>
  <si>
    <t>El equipo se encuentra en buenas condiciones de funcionamiento.</t>
  </si>
  <si>
    <t xml:space="preserve">11.   INCERTIDUMBRE EXPANDIDA DE LOS ERRORES   </t>
  </si>
  <si>
    <t>La incertidumbre reportada corresponde a la incertidumbre de medición expandida que resulta de la incertidumbre combinada,  multiplicada por el factor de cobertura K= 2,  y un nivel de confianza 95,45% evaluada según la guía SIM MWG7/cg-01/v.00.</t>
  </si>
  <si>
    <t>12.   OBSERVACIONES</t>
  </si>
  <si>
    <t>Intervalo de Medición (g) e incertidumbre expandida U</t>
  </si>
  <si>
    <t>9.   TRAZABILIDAD DEL PATRÓN QUE SE USO EN LA CALIBRACIÓN.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</si>
</sst>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0.000"/>
    <numFmt numFmtId="165" formatCode="0.00000"/>
    <numFmt numFmtId="166" formatCode="0.000000"/>
    <numFmt numFmtId="167" formatCode="0.0000000"/>
    <numFmt numFmtId="168" formatCode="yyyy\-mm\-dd;@"/>
    <numFmt numFmtId="169" formatCode="0.0000"/>
    <numFmt numFmtId="170" formatCode="0.0E+00"/>
    <numFmt numFmtId="171" formatCode="0.0"/>
    <numFmt numFmtId="172" formatCode="0.000000000"/>
    <numFmt numFmtId="173" formatCode="0.00000000"/>
    <numFmt numFmtId="174" formatCode="0.000E+00"/>
    <numFmt numFmtId="175" formatCode="0_ &quot;g&quot;"/>
    <numFmt numFmtId="176" formatCode="h:mm:ss;@"/>
    <numFmt numFmtId="177" formatCode="0_ &quot;mN&quot;"/>
    <numFmt numFmtId="178" formatCode="#,##0.0"/>
    <numFmt numFmtId="179" formatCode="#,##0.000"/>
    <numFmt numFmtId="180" formatCode="0.000_ &quot;g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vertAlign val="subscript"/>
      <sz val="11"/>
      <name val="Arial"/>
      <family val="2"/>
    </font>
    <font>
      <vertAlign val="subscript"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theme="0" tint="-4.9989318521683403E-2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b/>
      <i/>
      <vertAlign val="superscript"/>
      <sz val="11"/>
      <color theme="1"/>
      <name val="Arial"/>
      <family val="2"/>
    </font>
    <font>
      <b/>
      <i/>
      <vertAlign val="superscript"/>
      <sz val="11"/>
      <name val="Arial"/>
      <family val="2"/>
    </font>
    <font>
      <b/>
      <i/>
      <sz val="11"/>
      <color theme="0"/>
      <name val="Arial"/>
      <family val="2"/>
    </font>
    <font>
      <b/>
      <i/>
      <vertAlign val="superscript"/>
      <sz val="11"/>
      <color theme="0"/>
      <name val="Arial"/>
      <family val="2"/>
    </font>
    <font>
      <b/>
      <i/>
      <vertAlign val="subscript"/>
      <sz val="11"/>
      <color theme="0"/>
      <name val="Arial"/>
      <family val="2"/>
    </font>
    <font>
      <b/>
      <i/>
      <vertAlign val="subscript"/>
      <sz val="11"/>
      <color theme="1"/>
      <name val="Arial"/>
      <family val="2"/>
    </font>
    <font>
      <sz val="22"/>
      <color theme="0"/>
      <name val="Arial"/>
      <family val="2"/>
    </font>
    <font>
      <b/>
      <i/>
      <sz val="12"/>
      <color theme="1"/>
      <name val="Arial"/>
      <family val="2"/>
    </font>
    <font>
      <b/>
      <vertAlign val="superscript"/>
      <sz val="11"/>
      <name val="Arial"/>
      <family val="2"/>
    </font>
    <font>
      <sz val="26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4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sz val="12"/>
      <name val="Arial Narrow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i/>
      <sz val="11"/>
      <name val="Arial"/>
      <family val="2"/>
    </font>
    <font>
      <b/>
      <i/>
      <sz val="10"/>
      <color theme="1"/>
      <name val="Arial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i/>
      <sz val="12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sz val="18"/>
      <name val="Arial"/>
      <family val="2"/>
    </font>
    <font>
      <b/>
      <i/>
      <sz val="14"/>
      <name val="Arial"/>
      <family val="2"/>
    </font>
    <font>
      <sz val="12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8DB4E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gradientFill degree="90">
        <stop position="0">
          <color rgb="FFFFFF00"/>
        </stop>
        <stop position="1">
          <color rgb="FF7030A0"/>
        </stop>
      </gradientFill>
    </fill>
    <fill>
      <patternFill patternType="solid">
        <fgColor theme="0"/>
        <bgColor auto="1"/>
      </patternFill>
    </fill>
    <fill>
      <patternFill patternType="darkGray">
        <bgColor rgb="FF0070C0"/>
      </patternFill>
    </fill>
    <fill>
      <patternFill patternType="solid">
        <fgColor rgb="FFF4B08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6FD03"/>
        <bgColor indexed="64"/>
      </patternFill>
    </fill>
    <fill>
      <patternFill patternType="solid">
        <fgColor theme="0" tint="-0.34998626667073579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5" borderId="0" applyNumberFormat="0" applyBorder="0" applyAlignment="0" applyProtection="0"/>
    <xf numFmtId="2" fontId="5" fillId="14" borderId="5" applyFont="0" applyBorder="0" applyAlignment="0">
      <alignment horizontal="center" vertical="center" wrapText="1"/>
      <protection locked="0"/>
    </xf>
    <xf numFmtId="0" fontId="6" fillId="16" borderId="1" applyBorder="0">
      <alignment horizontal="center" vertical="center"/>
    </xf>
  </cellStyleXfs>
  <cellXfs count="1347">
    <xf numFmtId="0" fontId="0" fillId="0" borderId="0" xfId="0"/>
    <xf numFmtId="2" fontId="7" fillId="0" borderId="0" xfId="0" applyNumberFormat="1" applyFo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2" fontId="7" fillId="2" borderId="0" xfId="0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Protection="1">
      <protection hidden="1"/>
    </xf>
    <xf numFmtId="2" fontId="7" fillId="2" borderId="0" xfId="0" applyNumberFormat="1" applyFont="1" applyFill="1" applyBorder="1" applyProtection="1">
      <protection hidden="1"/>
    </xf>
    <xf numFmtId="2" fontId="7" fillId="0" borderId="0" xfId="0" applyNumberFormat="1" applyFont="1" applyFill="1" applyBorder="1" applyProtection="1">
      <protection hidden="1"/>
    </xf>
    <xf numFmtId="2" fontId="7" fillId="2" borderId="0" xfId="0" applyNumberFormat="1" applyFont="1" applyFill="1" applyProtection="1">
      <protection hidden="1"/>
    </xf>
    <xf numFmtId="2" fontId="8" fillId="0" borderId="0" xfId="2" applyNumberFormat="1" applyFont="1" applyFill="1" applyBorder="1" applyAlignment="1" applyProtection="1">
      <alignment horizontal="center" vertical="center"/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2" fontId="8" fillId="0" borderId="0" xfId="2" applyNumberFormat="1" applyFont="1" applyFill="1" applyBorder="1" applyAlignment="1" applyProtection="1">
      <alignment horizontal="center" vertical="center" wrapText="1"/>
      <protection hidden="1"/>
    </xf>
    <xf numFmtId="2" fontId="9" fillId="0" borderId="0" xfId="2" applyNumberFormat="1" applyFont="1" applyFill="1" applyBorder="1" applyAlignment="1" applyProtection="1">
      <alignment vertical="center"/>
      <protection hidden="1"/>
    </xf>
    <xf numFmtId="2" fontId="9" fillId="0" borderId="0" xfId="2" applyNumberFormat="1" applyFont="1" applyFill="1" applyBorder="1" applyAlignment="1" applyProtection="1">
      <alignment vertical="center" wrapText="1"/>
      <protection hidden="1"/>
    </xf>
    <xf numFmtId="2" fontId="7" fillId="2" borderId="0" xfId="0" applyNumberFormat="1" applyFont="1" applyFill="1" applyBorder="1" applyAlignment="1" applyProtection="1">
      <alignment vertical="center"/>
      <protection hidden="1"/>
    </xf>
    <xf numFmtId="2" fontId="9" fillId="0" borderId="0" xfId="2" applyNumberFormat="1" applyFont="1" applyFill="1" applyBorder="1" applyAlignment="1" applyProtection="1">
      <protection hidden="1"/>
    </xf>
    <xf numFmtId="2" fontId="7" fillId="0" borderId="0" xfId="0" applyNumberFormat="1" applyFont="1" applyAlignment="1" applyProtection="1">
      <alignment vertical="center"/>
      <protection hidden="1"/>
    </xf>
    <xf numFmtId="2" fontId="9" fillId="0" borderId="0" xfId="2" applyNumberFormat="1" applyFont="1" applyFill="1" applyBorder="1" applyAlignment="1" applyProtection="1">
      <alignment horizontal="center"/>
      <protection hidden="1"/>
    </xf>
    <xf numFmtId="2" fontId="9" fillId="0" borderId="0" xfId="2" applyNumberFormat="1" applyFont="1" applyFill="1" applyBorder="1" applyProtection="1">
      <protection hidden="1"/>
    </xf>
    <xf numFmtId="2" fontId="8" fillId="0" borderId="0" xfId="2" applyNumberFormat="1" applyFont="1" applyFill="1" applyBorder="1" applyAlignment="1" applyProtection="1">
      <protection hidden="1"/>
    </xf>
    <xf numFmtId="2" fontId="8" fillId="0" borderId="0" xfId="2" applyNumberFormat="1" applyFont="1" applyFill="1" applyBorder="1" applyAlignment="1" applyProtection="1">
      <alignment vertical="center"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177" fontId="8" fillId="0" borderId="0" xfId="2" applyNumberFormat="1" applyFont="1" applyFill="1" applyBorder="1" applyAlignment="1" applyProtection="1">
      <protection hidden="1"/>
    </xf>
    <xf numFmtId="2" fontId="9" fillId="0" borderId="0" xfId="2" applyNumberFormat="1" applyFont="1" applyFill="1" applyBorder="1" applyAlignment="1" applyProtection="1">
      <alignment horizontal="right" vertical="center"/>
      <protection hidden="1"/>
    </xf>
    <xf numFmtId="1" fontId="7" fillId="0" borderId="0" xfId="0" applyNumberFormat="1" applyFont="1" applyAlignment="1" applyProtection="1">
      <alignment horizontal="left" vertical="center"/>
      <protection hidden="1"/>
    </xf>
    <xf numFmtId="2" fontId="7" fillId="6" borderId="34" xfId="0" applyNumberFormat="1" applyFont="1" applyFill="1" applyBorder="1" applyAlignment="1" applyProtection="1">
      <alignment horizontal="center" vertical="center" wrapText="1"/>
      <protection hidden="1"/>
    </xf>
    <xf numFmtId="2" fontId="13" fillId="0" borderId="0" xfId="0" applyNumberFormat="1" applyFont="1" applyFill="1" applyBorder="1" applyAlignment="1" applyProtection="1">
      <alignment vertical="center" wrapText="1"/>
      <protection hidden="1"/>
    </xf>
    <xf numFmtId="2" fontId="13" fillId="6" borderId="20" xfId="0" applyNumberFormat="1" applyFont="1" applyFill="1" applyBorder="1" applyAlignment="1" applyProtection="1">
      <alignment horizontal="center" vertical="center"/>
      <protection hidden="1"/>
    </xf>
    <xf numFmtId="2" fontId="13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4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36" xfId="0" applyNumberFormat="1" applyFont="1" applyFill="1" applyBorder="1" applyAlignment="1" applyProtection="1">
      <alignment horizontal="center" vertical="center"/>
      <protection hidden="1"/>
    </xf>
    <xf numFmtId="1" fontId="7" fillId="9" borderId="36" xfId="0" applyNumberFormat="1" applyFont="1" applyFill="1" applyBorder="1" applyAlignment="1" applyProtection="1">
      <alignment horizontal="center" vertical="center"/>
      <protection hidden="1"/>
    </xf>
    <xf numFmtId="171" fontId="13" fillId="9" borderId="1" xfId="0" applyNumberFormat="1" applyFont="1" applyFill="1" applyBorder="1" applyAlignment="1" applyProtection="1">
      <alignment horizontal="center" vertical="center"/>
      <protection hidden="1"/>
    </xf>
    <xf numFmtId="171" fontId="7" fillId="2" borderId="0" xfId="0" applyNumberFormat="1" applyFont="1" applyFill="1" applyBorder="1" applyProtection="1">
      <protection hidden="1"/>
    </xf>
    <xf numFmtId="2" fontId="7" fillId="0" borderId="0" xfId="0" applyNumberFormat="1" applyFont="1" applyFill="1" applyProtection="1"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7" fillId="9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Protection="1">
      <protection hidden="1"/>
    </xf>
    <xf numFmtId="166" fontId="7" fillId="9" borderId="1" xfId="0" applyNumberFormat="1" applyFont="1" applyFill="1" applyBorder="1" applyAlignment="1" applyProtection="1">
      <alignment horizontal="center" vertical="center"/>
      <protection hidden="1"/>
    </xf>
    <xf numFmtId="165" fontId="7" fillId="9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Alignment="1" applyProtection="1">
      <alignment horizontal="center" vertical="center"/>
      <protection hidden="1"/>
    </xf>
    <xf numFmtId="169" fontId="7" fillId="0" borderId="0" xfId="0" applyNumberFormat="1" applyFont="1" applyFill="1" applyBorder="1" applyProtection="1">
      <protection hidden="1"/>
    </xf>
    <xf numFmtId="2" fontId="14" fillId="3" borderId="9" xfId="0" applyNumberFormat="1" applyFont="1" applyFill="1" applyBorder="1" applyAlignment="1" applyProtection="1">
      <alignment horizontal="center" vertical="center"/>
      <protection hidden="1"/>
    </xf>
    <xf numFmtId="2" fontId="15" fillId="3" borderId="11" xfId="0" applyNumberFormat="1" applyFont="1" applyFill="1" applyBorder="1" applyAlignment="1" applyProtection="1">
      <alignment horizontal="center" vertical="center" wrapText="1"/>
      <protection hidden="1"/>
    </xf>
    <xf numFmtId="169" fontId="9" fillId="9" borderId="1" xfId="0" applyNumberFormat="1" applyFont="1" applyFill="1" applyBorder="1" applyAlignment="1" applyProtection="1">
      <alignment horizontal="center" vertical="center"/>
      <protection hidden="1"/>
    </xf>
    <xf numFmtId="2" fontId="9" fillId="9" borderId="1" xfId="0" applyNumberFormat="1" applyFont="1" applyFill="1" applyBorder="1" applyAlignment="1" applyProtection="1">
      <alignment horizontal="center"/>
      <protection hidden="1"/>
    </xf>
    <xf numFmtId="167" fontId="9" fillId="9" borderId="1" xfId="0" applyNumberFormat="1" applyFont="1" applyFill="1" applyBorder="1" applyAlignment="1" applyProtection="1">
      <alignment horizontal="center" vertical="center"/>
      <protection hidden="1"/>
    </xf>
    <xf numFmtId="165" fontId="16" fillId="3" borderId="49" xfId="0" applyNumberFormat="1" applyFont="1" applyFill="1" applyBorder="1" applyAlignment="1" applyProtection="1">
      <alignment horizontal="center" vertical="center"/>
      <protection hidden="1"/>
    </xf>
    <xf numFmtId="165" fontId="16" fillId="3" borderId="50" xfId="0" applyNumberFormat="1" applyFont="1" applyFill="1" applyBorder="1" applyAlignment="1" applyProtection="1">
      <alignment horizontal="center" vertical="center"/>
      <protection hidden="1"/>
    </xf>
    <xf numFmtId="165" fontId="16" fillId="3" borderId="51" xfId="0" applyNumberFormat="1" applyFont="1" applyFill="1" applyBorder="1" applyAlignment="1" applyProtection="1">
      <alignment horizontal="center" vertical="center"/>
      <protection hidden="1"/>
    </xf>
    <xf numFmtId="2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7" fillId="9" borderId="1" xfId="0" applyNumberFormat="1" applyFont="1" applyFill="1" applyBorder="1" applyAlignment="1" applyProtection="1">
      <alignment horizontal="center" vertical="center"/>
      <protection hidden="1"/>
    </xf>
    <xf numFmtId="1" fontId="7" fillId="9" borderId="3" xfId="0" applyNumberFormat="1" applyFont="1" applyFill="1" applyBorder="1" applyAlignment="1" applyProtection="1">
      <alignment horizontal="center" vertical="center"/>
      <protection hidden="1"/>
    </xf>
    <xf numFmtId="165" fontId="13" fillId="9" borderId="33" xfId="0" applyNumberFormat="1" applyFont="1" applyFill="1" applyBorder="1" applyAlignment="1" applyProtection="1">
      <alignment horizontal="center" vertical="center"/>
      <protection hidden="1"/>
    </xf>
    <xf numFmtId="1" fontId="7" fillId="9" borderId="18" xfId="0" applyNumberFormat="1" applyFont="1" applyFill="1" applyBorder="1" applyAlignment="1" applyProtection="1">
      <alignment horizontal="center" vertical="center"/>
      <protection hidden="1"/>
    </xf>
    <xf numFmtId="1" fontId="7" fillId="9" borderId="20" xfId="0" applyNumberFormat="1" applyFont="1" applyFill="1" applyBorder="1" applyAlignment="1" applyProtection="1">
      <alignment horizontal="center" vertical="center"/>
      <protection hidden="1"/>
    </xf>
    <xf numFmtId="165" fontId="8" fillId="9" borderId="18" xfId="0" applyNumberFormat="1" applyFont="1" applyFill="1" applyBorder="1" applyAlignment="1" applyProtection="1">
      <alignment horizontal="center" vertical="center"/>
      <protection hidden="1"/>
    </xf>
    <xf numFmtId="165" fontId="8" fillId="9" borderId="20" xfId="0" applyNumberFormat="1" applyFont="1" applyFill="1" applyBorder="1" applyAlignment="1" applyProtection="1">
      <alignment horizontal="center" vertical="center"/>
      <protection hidden="1"/>
    </xf>
    <xf numFmtId="167" fontId="8" fillId="9" borderId="20" xfId="0" applyNumberFormat="1" applyFont="1" applyFill="1" applyBorder="1" applyAlignment="1" applyProtection="1">
      <alignment horizontal="center" vertical="center"/>
      <protection hidden="1"/>
    </xf>
    <xf numFmtId="2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0" xfId="0" applyNumberFormat="1" applyFont="1" applyFill="1" applyBorder="1" applyAlignment="1" applyProtection="1">
      <alignment horizontal="center" vertical="center"/>
      <protection hidden="1"/>
    </xf>
    <xf numFmtId="2" fontId="9" fillId="0" borderId="0" xfId="0" applyNumberFormat="1" applyFont="1" applyFill="1" applyBorder="1" applyProtection="1">
      <protection hidden="1"/>
    </xf>
    <xf numFmtId="174" fontId="7" fillId="9" borderId="1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2" xfId="1" applyNumberFormat="1" applyFont="1" applyFill="1" applyBorder="1" applyAlignment="1" applyProtection="1">
      <alignment vertical="center" wrapText="1"/>
      <protection hidden="1"/>
    </xf>
    <xf numFmtId="174" fontId="7" fillId="9" borderId="3" xfId="0" applyNumberFormat="1" applyFont="1" applyFill="1" applyBorder="1" applyAlignment="1" applyProtection="1">
      <alignment vertical="center" wrapText="1"/>
      <protection hidden="1"/>
    </xf>
    <xf numFmtId="174" fontId="10" fillId="9" borderId="3" xfId="0" applyNumberFormat="1" applyFont="1" applyFill="1" applyBorder="1" applyAlignment="1" applyProtection="1">
      <alignment vertical="center" wrapText="1"/>
      <protection hidden="1"/>
    </xf>
    <xf numFmtId="173" fontId="7" fillId="2" borderId="0" xfId="0" applyNumberFormat="1" applyFont="1" applyFill="1" applyBorder="1" applyProtection="1">
      <protection hidden="1"/>
    </xf>
    <xf numFmtId="2" fontId="7" fillId="11" borderId="19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2" fontId="7" fillId="2" borderId="0" xfId="0" applyNumberFormat="1" applyFont="1" applyFill="1" applyBorder="1" applyAlignment="1" applyProtection="1">
      <alignment horizontal="left" vertical="center"/>
      <protection hidden="1"/>
    </xf>
    <xf numFmtId="11" fontId="7" fillId="2" borderId="0" xfId="0" applyNumberFormat="1" applyFont="1" applyFill="1" applyBorder="1" applyProtection="1">
      <protection hidden="1"/>
    </xf>
    <xf numFmtId="2" fontId="7" fillId="2" borderId="0" xfId="0" applyNumberFormat="1" applyFont="1" applyFill="1" applyBorder="1" applyAlignment="1" applyProtection="1">
      <alignment horizontal="center"/>
      <protection hidden="1"/>
    </xf>
    <xf numFmtId="14" fontId="5" fillId="9" borderId="49" xfId="0" applyNumberFormat="1" applyFont="1" applyFill="1" applyBorder="1" applyAlignment="1" applyProtection="1">
      <alignment horizontal="center" vertical="center" wrapText="1"/>
      <protection hidden="1"/>
    </xf>
    <xf numFmtId="2" fontId="7" fillId="9" borderId="16" xfId="0" applyNumberFormat="1" applyFont="1" applyFill="1" applyBorder="1" applyAlignment="1" applyProtection="1">
      <alignment horizontal="centerContinuous" vertical="center" wrapText="1"/>
      <protection hidden="1"/>
    </xf>
    <xf numFmtId="0" fontId="7" fillId="9" borderId="1" xfId="0" applyFont="1" applyFill="1" applyBorder="1" applyAlignment="1" applyProtection="1">
      <alignment horizontal="center" vertical="center"/>
      <protection hidden="1"/>
    </xf>
    <xf numFmtId="2" fontId="17" fillId="6" borderId="9" xfId="2" applyNumberFormat="1" applyFont="1" applyFill="1" applyBorder="1" applyAlignment="1" applyProtection="1">
      <alignment horizontal="center" vertical="center" wrapText="1"/>
      <protection hidden="1"/>
    </xf>
    <xf numFmtId="2" fontId="17" fillId="6" borderId="10" xfId="2" applyNumberFormat="1" applyFont="1" applyFill="1" applyBorder="1" applyAlignment="1" applyProtection="1">
      <alignment horizontal="center" vertical="center" wrapText="1"/>
      <protection hidden="1"/>
    </xf>
    <xf numFmtId="2" fontId="4" fillId="6" borderId="10" xfId="0" applyNumberFormat="1" applyFont="1" applyFill="1" applyBorder="1" applyAlignment="1" applyProtection="1">
      <alignment horizontal="center" vertical="center" wrapText="1"/>
      <protection hidden="1"/>
    </xf>
    <xf numFmtId="2" fontId="17" fillId="6" borderId="48" xfId="2" applyNumberFormat="1" applyFont="1" applyFill="1" applyBorder="1" applyAlignment="1" applyProtection="1">
      <alignment horizontal="center" vertical="center" wrapText="1"/>
      <protection hidden="1"/>
    </xf>
    <xf numFmtId="2" fontId="7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71" fontId="7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" fontId="7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68" fontId="5" fillId="9" borderId="49" xfId="0" applyNumberFormat="1" applyFont="1" applyFill="1" applyBorder="1" applyAlignment="1" applyProtection="1">
      <alignment horizontal="center" vertical="center" wrapText="1"/>
      <protection hidden="1"/>
    </xf>
    <xf numFmtId="165" fontId="7" fillId="9" borderId="20" xfId="0" applyNumberFormat="1" applyFont="1" applyFill="1" applyBorder="1" applyAlignment="1" applyProtection="1">
      <alignment horizontal="center" vertical="center"/>
      <protection hidden="1"/>
    </xf>
    <xf numFmtId="2" fontId="14" fillId="3" borderId="16" xfId="0" applyNumberFormat="1" applyFont="1" applyFill="1" applyBorder="1" applyAlignment="1" applyProtection="1">
      <alignment vertical="center"/>
      <protection hidden="1"/>
    </xf>
    <xf numFmtId="2" fontId="7" fillId="2" borderId="0" xfId="0" applyNumberFormat="1" applyFont="1" applyFill="1" applyBorder="1" applyAlignment="1" applyProtection="1">
      <alignment horizontal="center" vertical="center"/>
      <protection hidden="1"/>
    </xf>
    <xf numFmtId="2" fontId="13" fillId="6" borderId="14" xfId="0" applyNumberFormat="1" applyFont="1" applyFill="1" applyBorder="1" applyAlignment="1" applyProtection="1">
      <alignment horizontal="center" vertical="center"/>
      <protection hidden="1"/>
    </xf>
    <xf numFmtId="2" fontId="13" fillId="6" borderId="36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36" xfId="0" applyNumberFormat="1" applyFont="1" applyFill="1" applyBorder="1" applyAlignment="1" applyProtection="1">
      <alignment vertical="center" wrapText="1"/>
      <protection hidden="1"/>
    </xf>
    <xf numFmtId="2" fontId="7" fillId="9" borderId="14" xfId="0" applyNumberFormat="1" applyFont="1" applyFill="1" applyBorder="1" applyAlignment="1" applyProtection="1">
      <alignment horizontal="centerContinuous" vertical="center" wrapText="1"/>
      <protection hidden="1"/>
    </xf>
    <xf numFmtId="2" fontId="14" fillId="2" borderId="0" xfId="0" applyNumberFormat="1" applyFont="1" applyFill="1" applyBorder="1" applyProtection="1">
      <protection hidden="1"/>
    </xf>
    <xf numFmtId="171" fontId="13" fillId="9" borderId="36" xfId="0" applyNumberFormat="1" applyFont="1" applyFill="1" applyBorder="1" applyAlignment="1" applyProtection="1">
      <alignment horizontal="center" vertical="center"/>
      <protection hidden="1"/>
    </xf>
    <xf numFmtId="2" fontId="18" fillId="6" borderId="36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36" xfId="0" applyNumberFormat="1" applyFont="1" applyFill="1" applyBorder="1" applyAlignment="1" applyProtection="1">
      <alignment vertical="center" wrapText="1"/>
      <protection hidden="1"/>
    </xf>
    <xf numFmtId="2" fontId="40" fillId="3" borderId="16" xfId="0" applyNumberFormat="1" applyFont="1" applyFill="1" applyBorder="1" applyAlignment="1" applyProtection="1">
      <alignment vertical="center"/>
      <protection hidden="1"/>
    </xf>
    <xf numFmtId="0" fontId="33" fillId="0" borderId="0" xfId="0" applyFont="1" applyProtection="1">
      <protection hidden="1"/>
    </xf>
    <xf numFmtId="0" fontId="33" fillId="0" borderId="0" xfId="0" applyFont="1" applyBorder="1" applyProtection="1"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36" xfId="0" applyFont="1" applyBorder="1" applyAlignment="1" applyProtection="1">
      <alignment horizontal="center"/>
      <protection hidden="1"/>
    </xf>
    <xf numFmtId="0" fontId="32" fillId="0" borderId="4" xfId="0" applyNumberFormat="1" applyFont="1" applyBorder="1" applyAlignment="1" applyProtection="1">
      <protection hidden="1"/>
    </xf>
    <xf numFmtId="0" fontId="32" fillId="0" borderId="5" xfId="0" applyNumberFormat="1" applyFont="1" applyBorder="1" applyAlignment="1" applyProtection="1">
      <protection hidden="1"/>
    </xf>
    <xf numFmtId="0" fontId="32" fillId="0" borderId="40" xfId="0" applyNumberFormat="1" applyFont="1" applyBorder="1" applyAlignment="1" applyProtection="1">
      <protection hidden="1"/>
    </xf>
    <xf numFmtId="10" fontId="33" fillId="0" borderId="36" xfId="0" applyNumberFormat="1" applyFont="1" applyBorder="1" applyAlignment="1" applyProtection="1">
      <alignment horizontal="center"/>
      <protection hidden="1"/>
    </xf>
    <xf numFmtId="0" fontId="33" fillId="0" borderId="0" xfId="0" applyFont="1" applyFill="1" applyBorder="1" applyProtection="1">
      <protection hidden="1"/>
    </xf>
    <xf numFmtId="0" fontId="32" fillId="0" borderId="42" xfId="0" applyNumberFormat="1" applyFont="1" applyFill="1" applyBorder="1" applyAlignment="1" applyProtection="1">
      <alignment horizontal="center" vertical="center"/>
      <protection hidden="1"/>
    </xf>
    <xf numFmtId="0" fontId="32" fillId="0" borderId="1" xfId="0" applyNumberFormat="1" applyFont="1" applyFill="1" applyBorder="1" applyAlignment="1" applyProtection="1">
      <alignment horizontal="center" vertical="center"/>
      <protection hidden="1"/>
    </xf>
    <xf numFmtId="168" fontId="32" fillId="0" borderId="1" xfId="0" applyNumberFormat="1" applyFont="1" applyFill="1" applyBorder="1" applyAlignment="1" applyProtection="1">
      <alignment horizontal="center" vertical="center"/>
      <protection hidden="1"/>
    </xf>
    <xf numFmtId="0" fontId="3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43" xfId="0" applyNumberFormat="1" applyFont="1" applyFill="1" applyBorder="1" applyAlignment="1" applyProtection="1">
      <alignment horizontal="center" vertical="center"/>
      <protection hidden="1"/>
    </xf>
    <xf numFmtId="0" fontId="33" fillId="21" borderId="0" xfId="0" applyFont="1" applyFill="1" applyBorder="1" applyAlignment="1" applyProtection="1">
      <alignment horizontal="center" vertical="center"/>
      <protection hidden="1"/>
    </xf>
    <xf numFmtId="10" fontId="33" fillId="21" borderId="36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Protection="1">
      <protection hidden="1"/>
    </xf>
    <xf numFmtId="0" fontId="33" fillId="0" borderId="7" xfId="0" applyNumberFormat="1" applyFont="1" applyFill="1" applyBorder="1" applyProtection="1">
      <protection hidden="1"/>
    </xf>
    <xf numFmtId="0" fontId="33" fillId="0" borderId="8" xfId="0" applyNumberFormat="1" applyFont="1" applyFill="1" applyBorder="1" applyProtection="1">
      <protection hidden="1"/>
    </xf>
    <xf numFmtId="0" fontId="33" fillId="0" borderId="12" xfId="0" applyNumberFormat="1" applyFont="1" applyFill="1" applyBorder="1" applyProtection="1">
      <protection hidden="1"/>
    </xf>
    <xf numFmtId="0" fontId="32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7" xfId="0" applyNumberFormat="1" applyFont="1" applyFill="1" applyBorder="1" applyAlignment="1" applyProtection="1">
      <alignment horizontal="center"/>
      <protection hidden="1"/>
    </xf>
    <xf numFmtId="0" fontId="32" fillId="0" borderId="8" xfId="0" applyNumberFormat="1" applyFont="1" applyFill="1" applyBorder="1" applyAlignment="1" applyProtection="1">
      <alignment horizontal="center"/>
      <protection hidden="1"/>
    </xf>
    <xf numFmtId="0" fontId="32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2" xfId="0" applyNumberFormat="1" applyFont="1" applyFill="1" applyBorder="1" applyAlignment="1" applyProtection="1">
      <alignment horizontal="center"/>
      <protection hidden="1"/>
    </xf>
    <xf numFmtId="0" fontId="33" fillId="0" borderId="14" xfId="0" applyFont="1" applyBorder="1" applyAlignment="1" applyProtection="1">
      <protection hidden="1"/>
    </xf>
    <xf numFmtId="0" fontId="33" fillId="0" borderId="15" xfId="0" applyFont="1" applyBorder="1" applyAlignment="1" applyProtection="1">
      <protection hidden="1"/>
    </xf>
    <xf numFmtId="0" fontId="33" fillId="0" borderId="10" xfId="0" applyFont="1" applyBorder="1" applyAlignment="1" applyProtection="1">
      <protection hidden="1"/>
    </xf>
    <xf numFmtId="0" fontId="33" fillId="0" borderId="11" xfId="0" applyFont="1" applyBorder="1" applyAlignment="1" applyProtection="1">
      <alignment horizontal="center" vertical="center"/>
      <protection hidden="1"/>
    </xf>
    <xf numFmtId="0" fontId="33" fillId="0" borderId="4" xfId="0" applyFont="1" applyFill="1" applyBorder="1" applyAlignment="1" applyProtection="1">
      <alignment horizontal="center" vertical="center" wrapText="1"/>
      <protection hidden="1"/>
    </xf>
    <xf numFmtId="0" fontId="33" fillId="0" borderId="5" xfId="0" applyFont="1" applyFill="1" applyBorder="1" applyAlignment="1" applyProtection="1">
      <alignment horizontal="center" vertical="center"/>
      <protection hidden="1"/>
    </xf>
    <xf numFmtId="168" fontId="33" fillId="0" borderId="5" xfId="0" applyNumberFormat="1" applyFont="1" applyFill="1" applyBorder="1" applyAlignment="1" applyProtection="1">
      <alignment horizontal="center" vertical="center"/>
      <protection hidden="1"/>
    </xf>
    <xf numFmtId="164" fontId="33" fillId="0" borderId="5" xfId="0" applyNumberFormat="1" applyFont="1" applyFill="1" applyBorder="1" applyAlignment="1" applyProtection="1">
      <alignment horizontal="center" vertical="center"/>
      <protection hidden="1"/>
    </xf>
    <xf numFmtId="166" fontId="33" fillId="0" borderId="5" xfId="0" applyNumberFormat="1" applyFont="1" applyFill="1" applyBorder="1" applyAlignment="1" applyProtection="1">
      <alignment horizontal="center" vertical="center"/>
      <protection hidden="1"/>
    </xf>
    <xf numFmtId="169" fontId="33" fillId="0" borderId="58" xfId="0" applyNumberFormat="1" applyFont="1" applyFill="1" applyBorder="1" applyAlignment="1" applyProtection="1">
      <alignment horizontal="center" vertical="center"/>
      <protection hidden="1"/>
    </xf>
    <xf numFmtId="0" fontId="33" fillId="0" borderId="40" xfId="0" applyFont="1" applyFill="1" applyBorder="1" applyAlignment="1" applyProtection="1">
      <alignment horizontal="center" vertical="center"/>
      <protection hidden="1"/>
    </xf>
    <xf numFmtId="0" fontId="33" fillId="0" borderId="42" xfId="0" applyFont="1" applyFill="1" applyBorder="1" applyAlignment="1" applyProtection="1">
      <alignment horizontal="center" vertical="center" wrapText="1"/>
      <protection hidden="1"/>
    </xf>
    <xf numFmtId="0" fontId="33" fillId="0" borderId="1" xfId="0" applyFont="1" applyFill="1" applyBorder="1" applyAlignment="1" applyProtection="1">
      <alignment horizontal="center" vertical="center"/>
      <protection hidden="1"/>
    </xf>
    <xf numFmtId="168" fontId="33" fillId="0" borderId="1" xfId="0" applyNumberFormat="1" applyFont="1" applyFill="1" applyBorder="1" applyAlignment="1" applyProtection="1">
      <alignment horizontal="center" vertical="center"/>
      <protection hidden="1"/>
    </xf>
    <xf numFmtId="165" fontId="33" fillId="0" borderId="1" xfId="0" applyNumberFormat="1" applyFont="1" applyFill="1" applyBorder="1" applyAlignment="1" applyProtection="1">
      <alignment horizontal="center" vertical="center"/>
      <protection hidden="1"/>
    </xf>
    <xf numFmtId="2" fontId="33" fillId="0" borderId="1" xfId="0" applyNumberFormat="1" applyFont="1" applyFill="1" applyBorder="1" applyAlignment="1" applyProtection="1">
      <alignment horizontal="center" vertical="center"/>
      <protection hidden="1"/>
    </xf>
    <xf numFmtId="0" fontId="33" fillId="0" borderId="2" xfId="0" applyFont="1" applyFill="1" applyBorder="1" applyAlignment="1" applyProtection="1">
      <alignment horizontal="center" vertical="center"/>
      <protection hidden="1"/>
    </xf>
    <xf numFmtId="0" fontId="33" fillId="0" borderId="45" xfId="0" applyFont="1" applyFill="1" applyBorder="1" applyAlignment="1" applyProtection="1">
      <alignment horizontal="center" vertical="center"/>
      <protection hidden="1"/>
    </xf>
    <xf numFmtId="169" fontId="33" fillId="0" borderId="1" xfId="0" applyNumberFormat="1" applyFont="1" applyFill="1" applyBorder="1" applyAlignment="1" applyProtection="1">
      <alignment horizontal="center" vertical="center"/>
      <protection hidden="1"/>
    </xf>
    <xf numFmtId="171" fontId="33" fillId="0" borderId="1" xfId="0" applyNumberFormat="1" applyFont="1" applyFill="1" applyBorder="1" applyAlignment="1" applyProtection="1">
      <alignment horizontal="center" vertical="center"/>
      <protection hidden="1"/>
    </xf>
    <xf numFmtId="0" fontId="33" fillId="0" borderId="46" xfId="0" applyFont="1" applyFill="1" applyBorder="1" applyAlignment="1" applyProtection="1">
      <alignment horizontal="center" vertical="center" wrapText="1"/>
      <protection hidden="1"/>
    </xf>
    <xf numFmtId="0" fontId="33" fillId="0" borderId="33" xfId="0" applyFont="1" applyFill="1" applyBorder="1" applyAlignment="1" applyProtection="1">
      <alignment horizontal="center" vertical="center"/>
      <protection hidden="1"/>
    </xf>
    <xf numFmtId="168" fontId="33" fillId="0" borderId="33" xfId="0" applyNumberFormat="1" applyFont="1" applyFill="1" applyBorder="1" applyAlignment="1" applyProtection="1">
      <alignment horizontal="center" vertical="center"/>
      <protection hidden="1"/>
    </xf>
    <xf numFmtId="169" fontId="33" fillId="0" borderId="33" xfId="0" applyNumberFormat="1" applyFont="1" applyFill="1" applyBorder="1" applyAlignment="1" applyProtection="1">
      <alignment horizontal="center" vertical="center"/>
      <protection hidden="1"/>
    </xf>
    <xf numFmtId="0" fontId="33" fillId="0" borderId="26" xfId="0" applyFont="1" applyFill="1" applyBorder="1" applyAlignment="1" applyProtection="1">
      <alignment horizontal="center" vertical="center"/>
      <protection hidden="1"/>
    </xf>
    <xf numFmtId="0" fontId="33" fillId="0" borderId="53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169" fontId="33" fillId="0" borderId="5" xfId="0" applyNumberFormat="1" applyFont="1" applyFill="1" applyBorder="1" applyAlignment="1" applyProtection="1">
      <alignment horizontal="center" vertical="center"/>
      <protection hidden="1"/>
    </xf>
    <xf numFmtId="0" fontId="33" fillId="0" borderId="43" xfId="0" applyFont="1" applyFill="1" applyBorder="1" applyAlignment="1" applyProtection="1">
      <alignment horizontal="center" vertical="center"/>
      <protection hidden="1"/>
    </xf>
    <xf numFmtId="0" fontId="33" fillId="0" borderId="7" xfId="0" applyFont="1" applyFill="1" applyBorder="1" applyAlignment="1" applyProtection="1">
      <alignment horizontal="center" vertical="center" wrapText="1"/>
      <protection hidden="1"/>
    </xf>
    <xf numFmtId="0" fontId="33" fillId="0" borderId="8" xfId="0" applyFont="1" applyFill="1" applyBorder="1" applyAlignment="1" applyProtection="1">
      <alignment horizontal="center" vertical="center"/>
      <protection hidden="1"/>
    </xf>
    <xf numFmtId="168" fontId="33" fillId="0" borderId="8" xfId="0" applyNumberFormat="1" applyFont="1" applyFill="1" applyBorder="1" applyAlignment="1" applyProtection="1">
      <alignment horizontal="center" vertical="center"/>
      <protection hidden="1"/>
    </xf>
    <xf numFmtId="169" fontId="33" fillId="0" borderId="8" xfId="0" applyNumberFormat="1" applyFont="1" applyFill="1" applyBorder="1" applyAlignment="1" applyProtection="1">
      <alignment horizontal="center" vertical="center"/>
      <protection hidden="1"/>
    </xf>
    <xf numFmtId="0" fontId="33" fillId="0" borderId="12" xfId="0" applyFont="1" applyFill="1" applyBorder="1" applyAlignment="1" applyProtection="1">
      <alignment horizontal="center" vertical="center"/>
      <protection hidden="1"/>
    </xf>
    <xf numFmtId="0" fontId="33" fillId="0" borderId="54" xfId="0" applyFont="1" applyFill="1" applyBorder="1" applyAlignment="1" applyProtection="1">
      <alignment horizontal="center" vertical="center"/>
      <protection hidden="1"/>
    </xf>
    <xf numFmtId="0" fontId="33" fillId="0" borderId="27" xfId="0" applyFont="1" applyFill="1" applyBorder="1" applyAlignment="1" applyProtection="1">
      <alignment horizontal="center" vertical="center"/>
      <protection hidden="1"/>
    </xf>
    <xf numFmtId="169" fontId="33" fillId="0" borderId="31" xfId="0" applyNumberFormat="1" applyFont="1" applyFill="1" applyBorder="1" applyAlignment="1" applyProtection="1">
      <alignment horizontal="center" vertical="center"/>
      <protection hidden="1"/>
    </xf>
    <xf numFmtId="0" fontId="33" fillId="2" borderId="1" xfId="0" applyFont="1" applyFill="1" applyBorder="1" applyAlignment="1" applyProtection="1">
      <alignment horizontal="center" vertical="center"/>
      <protection hidden="1"/>
    </xf>
    <xf numFmtId="166" fontId="33" fillId="0" borderId="1" xfId="0" applyNumberFormat="1" applyFont="1" applyFill="1" applyBorder="1" applyAlignment="1" applyProtection="1">
      <alignment horizontal="center" vertical="center"/>
      <protection hidden="1"/>
    </xf>
    <xf numFmtId="164" fontId="33" fillId="0" borderId="1" xfId="0" applyNumberFormat="1" applyFont="1" applyFill="1" applyBorder="1" applyAlignment="1" applyProtection="1">
      <alignment horizontal="center" vertical="center"/>
      <protection hidden="1"/>
    </xf>
    <xf numFmtId="0" fontId="33" fillId="0" borderId="1" xfId="0" applyFont="1" applyBorder="1" applyProtection="1">
      <protection hidden="1"/>
    </xf>
    <xf numFmtId="0" fontId="33" fillId="0" borderId="1" xfId="4" applyFont="1" applyFill="1" applyBorder="1" applyProtection="1">
      <alignment horizontal="center" vertical="center"/>
      <protection hidden="1"/>
    </xf>
    <xf numFmtId="0" fontId="33" fillId="0" borderId="8" xfId="4" applyFont="1" applyFill="1" applyBorder="1" applyProtection="1">
      <alignment horizontal="center" vertical="center"/>
      <protection hidden="1"/>
    </xf>
    <xf numFmtId="0" fontId="33" fillId="0" borderId="8" xfId="0" applyFont="1" applyBorder="1" applyProtection="1">
      <protection hidden="1"/>
    </xf>
    <xf numFmtId="171" fontId="33" fillId="0" borderId="8" xfId="0" applyNumberFormat="1" applyFont="1" applyFill="1" applyBorder="1" applyAlignment="1" applyProtection="1">
      <alignment horizontal="center" vertical="center"/>
      <protection hidden="1"/>
    </xf>
    <xf numFmtId="0" fontId="33" fillId="0" borderId="44" xfId="0" applyFont="1" applyFill="1" applyBorder="1" applyAlignment="1" applyProtection="1">
      <alignment horizontal="center" vertical="center" wrapText="1"/>
      <protection hidden="1"/>
    </xf>
    <xf numFmtId="0" fontId="33" fillId="0" borderId="20" xfId="0" applyFont="1" applyFill="1" applyBorder="1" applyAlignment="1" applyProtection="1">
      <alignment horizontal="center" vertical="center"/>
      <protection hidden="1"/>
    </xf>
    <xf numFmtId="168" fontId="33" fillId="0" borderId="20" xfId="0" applyNumberFormat="1" applyFont="1" applyFill="1" applyBorder="1" applyAlignment="1" applyProtection="1">
      <alignment horizontal="center" vertical="center"/>
      <protection hidden="1"/>
    </xf>
    <xf numFmtId="0" fontId="33" fillId="0" borderId="20" xfId="4" applyFont="1" applyFill="1" applyBorder="1" applyProtection="1">
      <alignment horizontal="center" vertical="center"/>
      <protection hidden="1"/>
    </xf>
    <xf numFmtId="0" fontId="33" fillId="0" borderId="20" xfId="0" applyFont="1" applyBorder="1" applyProtection="1">
      <protection hidden="1"/>
    </xf>
    <xf numFmtId="165" fontId="33" fillId="0" borderId="20" xfId="0" applyNumberFormat="1" applyFont="1" applyFill="1" applyBorder="1" applyAlignment="1" applyProtection="1">
      <alignment horizontal="center" vertical="center"/>
      <protection hidden="1"/>
    </xf>
    <xf numFmtId="169" fontId="33" fillId="0" borderId="17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Border="1" applyProtection="1">
      <protection hidden="1"/>
    </xf>
    <xf numFmtId="0" fontId="32" fillId="0" borderId="0" xfId="0" applyFont="1" applyFill="1" applyBorder="1" applyProtection="1"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3" fillId="0" borderId="33" xfId="4" applyFont="1" applyFill="1" applyBorder="1" applyProtection="1">
      <alignment horizontal="center" vertical="center"/>
      <protection hidden="1"/>
    </xf>
    <xf numFmtId="169" fontId="33" fillId="0" borderId="27" xfId="0" applyNumberFormat="1" applyFont="1" applyFill="1" applyBorder="1" applyAlignment="1" applyProtection="1">
      <alignment horizontal="center" vertical="center"/>
      <protection hidden="1"/>
    </xf>
    <xf numFmtId="171" fontId="33" fillId="0" borderId="33" xfId="0" applyNumberFormat="1" applyFont="1" applyFill="1" applyBorder="1" applyAlignment="1" applyProtection="1">
      <alignment horizontal="center" vertical="center"/>
      <protection hidden="1"/>
    </xf>
    <xf numFmtId="0" fontId="32" fillId="0" borderId="36" xfId="0" applyFont="1" applyFill="1" applyBorder="1" applyAlignment="1" applyProtection="1">
      <alignment horizontal="center" vertical="center"/>
      <protection hidden="1"/>
    </xf>
    <xf numFmtId="0" fontId="33" fillId="0" borderId="5" xfId="4" applyFont="1" applyFill="1" applyBorder="1" applyProtection="1">
      <alignment horizontal="center" vertical="center"/>
      <protection hidden="1"/>
    </xf>
    <xf numFmtId="164" fontId="33" fillId="0" borderId="50" xfId="0" applyNumberFormat="1" applyFont="1" applyFill="1" applyBorder="1" applyAlignment="1" applyProtection="1">
      <alignment horizontal="center" vertical="center"/>
      <protection hidden="1"/>
    </xf>
    <xf numFmtId="169" fontId="33" fillId="0" borderId="56" xfId="0" applyNumberFormat="1" applyFont="1" applyFill="1" applyBorder="1" applyAlignment="1" applyProtection="1">
      <alignment horizontal="center" vertical="center"/>
      <protection hidden="1"/>
    </xf>
    <xf numFmtId="0" fontId="33" fillId="0" borderId="51" xfId="0" applyFont="1" applyFill="1" applyBorder="1" applyAlignment="1" applyProtection="1">
      <alignment horizontal="center" vertical="center"/>
      <protection hidden="1"/>
    </xf>
    <xf numFmtId="164" fontId="33" fillId="0" borderId="20" xfId="0" applyNumberFormat="1" applyFont="1" applyFill="1" applyBorder="1" applyAlignment="1" applyProtection="1">
      <alignment horizontal="center" vertical="center"/>
      <protection hidden="1"/>
    </xf>
    <xf numFmtId="0" fontId="33" fillId="0" borderId="17" xfId="0" applyFont="1" applyFill="1" applyBorder="1" applyAlignment="1" applyProtection="1">
      <alignment horizontal="center" vertical="center"/>
      <protection hidden="1"/>
    </xf>
    <xf numFmtId="169" fontId="33" fillId="0" borderId="2" xfId="0" applyNumberFormat="1" applyFont="1" applyFill="1" applyBorder="1" applyAlignment="1" applyProtection="1">
      <alignment horizontal="center" vertical="center"/>
      <protection hidden="1"/>
    </xf>
    <xf numFmtId="0" fontId="33" fillId="0" borderId="38" xfId="0" applyFont="1" applyFill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 textRotation="90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3" fillId="0" borderId="22" xfId="0" applyFont="1" applyBorder="1" applyProtection="1">
      <protection hidden="1"/>
    </xf>
    <xf numFmtId="0" fontId="34" fillId="0" borderId="32" xfId="0" applyFont="1" applyBorder="1" applyAlignment="1" applyProtection="1">
      <alignment vertical="center" textRotation="90"/>
      <protection hidden="1"/>
    </xf>
    <xf numFmtId="0" fontId="33" fillId="0" borderId="32" xfId="0" applyFont="1" applyBorder="1" applyAlignment="1" applyProtection="1">
      <protection hidden="1"/>
    </xf>
    <xf numFmtId="0" fontId="33" fillId="0" borderId="32" xfId="0" applyFont="1" applyBorder="1" applyProtection="1">
      <protection hidden="1"/>
    </xf>
    <xf numFmtId="0" fontId="33" fillId="0" borderId="15" xfId="0" applyFont="1" applyBorder="1" applyProtection="1">
      <protection hidden="1"/>
    </xf>
    <xf numFmtId="0" fontId="33" fillId="0" borderId="15" xfId="0" applyFont="1" applyBorder="1" applyAlignment="1" applyProtection="1">
      <alignment horizontal="center" vertical="center"/>
      <protection hidden="1"/>
    </xf>
    <xf numFmtId="0" fontId="33" fillId="0" borderId="16" xfId="0" applyFont="1" applyBorder="1" applyAlignment="1" applyProtection="1">
      <alignment horizontal="center" vertical="center"/>
      <protection hidden="1"/>
    </xf>
    <xf numFmtId="0" fontId="32" fillId="20" borderId="5" xfId="0" applyFont="1" applyFill="1" applyBorder="1" applyAlignment="1" applyProtection="1">
      <alignment horizontal="center"/>
      <protection hidden="1"/>
    </xf>
    <xf numFmtId="0" fontId="32" fillId="20" borderId="5" xfId="0" applyFont="1" applyFill="1" applyBorder="1" applyAlignment="1" applyProtection="1">
      <alignment horizontal="center" vertical="center"/>
      <protection hidden="1"/>
    </xf>
    <xf numFmtId="171" fontId="32" fillId="20" borderId="5" xfId="0" applyNumberFormat="1" applyFont="1" applyFill="1" applyBorder="1" applyAlignment="1" applyProtection="1">
      <alignment horizontal="center" vertical="center"/>
      <protection hidden="1"/>
    </xf>
    <xf numFmtId="3" fontId="32" fillId="19" borderId="44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32" fillId="20" borderId="1" xfId="0" applyFont="1" applyFill="1" applyBorder="1" applyAlignment="1" applyProtection="1">
      <alignment horizontal="center" vertical="center"/>
      <protection hidden="1"/>
    </xf>
    <xf numFmtId="0" fontId="32" fillId="20" borderId="20" xfId="0" applyFont="1" applyFill="1" applyBorder="1" applyAlignment="1" applyProtection="1">
      <alignment horizontal="center" vertical="center"/>
      <protection hidden="1"/>
    </xf>
    <xf numFmtId="171" fontId="32" fillId="20" borderId="20" xfId="0" applyNumberFormat="1" applyFont="1" applyFill="1" applyBorder="1" applyAlignment="1" applyProtection="1">
      <alignment horizontal="center" vertical="center"/>
      <protection hidden="1"/>
    </xf>
    <xf numFmtId="0" fontId="33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171" fontId="32" fillId="20" borderId="1" xfId="0" applyNumberFormat="1" applyFont="1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32" fillId="20" borderId="1" xfId="0" applyFont="1" applyFill="1" applyBorder="1" applyAlignment="1" applyProtection="1">
      <alignment horizontal="center"/>
      <protection hidden="1"/>
    </xf>
    <xf numFmtId="171" fontId="32" fillId="20" borderId="8" xfId="0" applyNumberFormat="1" applyFont="1" applyFill="1" applyBorder="1" applyAlignment="1" applyProtection="1">
      <alignment horizontal="center" vertical="center"/>
      <protection hidden="1"/>
    </xf>
    <xf numFmtId="0" fontId="32" fillId="20" borderId="8" xfId="0" applyFont="1" applyFill="1" applyBorder="1" applyAlignment="1" applyProtection="1">
      <alignment horizontal="center" vertical="center"/>
      <protection hidden="1"/>
    </xf>
    <xf numFmtId="0" fontId="34" fillId="0" borderId="41" xfId="0" applyFont="1" applyBorder="1" applyAlignment="1" applyProtection="1">
      <alignment horizontal="center" vertical="center"/>
      <protection hidden="1"/>
    </xf>
    <xf numFmtId="0" fontId="32" fillId="0" borderId="41" xfId="0" applyFont="1" applyFill="1" applyBorder="1" applyAlignment="1" applyProtection="1">
      <alignment horizontal="center" vertical="center"/>
      <protection hidden="1"/>
    </xf>
    <xf numFmtId="0" fontId="33" fillId="0" borderId="41" xfId="0" applyFont="1" applyFill="1" applyBorder="1" applyAlignment="1" applyProtection="1">
      <alignment horizontal="center" vertical="center"/>
      <protection hidden="1"/>
    </xf>
    <xf numFmtId="3" fontId="32" fillId="0" borderId="41" xfId="0" applyNumberFormat="1" applyFont="1" applyFill="1" applyBorder="1" applyAlignment="1" applyProtection="1">
      <alignment horizontal="center" vertical="center" wrapText="1"/>
      <protection hidden="1"/>
    </xf>
    <xf numFmtId="171" fontId="32" fillId="0" borderId="41" xfId="0" applyNumberFormat="1" applyFont="1" applyFill="1" applyBorder="1" applyAlignment="1" applyProtection="1">
      <alignment horizontal="center" vertical="center"/>
      <protection hidden="1"/>
    </xf>
    <xf numFmtId="168" fontId="32" fillId="0" borderId="41" xfId="0" applyNumberFormat="1" applyFont="1" applyFill="1" applyBorder="1" applyAlignment="1" applyProtection="1">
      <alignment horizontal="center" vertical="center"/>
      <protection hidden="1"/>
    </xf>
    <xf numFmtId="3" fontId="32" fillId="19" borderId="4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5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178" fontId="0" fillId="0" borderId="1" xfId="0" applyNumberFormat="1" applyBorder="1" applyAlignment="1" applyProtection="1">
      <alignment horizontal="center" vertical="center" wrapText="1"/>
      <protection hidden="1"/>
    </xf>
    <xf numFmtId="4" fontId="0" fillId="0" borderId="1" xfId="0" applyNumberFormat="1" applyBorder="1" applyAlignment="1" applyProtection="1">
      <alignment horizontal="center" vertical="center" wrapText="1"/>
      <protection hidden="1"/>
    </xf>
    <xf numFmtId="178" fontId="32" fillId="20" borderId="1" xfId="0" applyNumberFormat="1" applyFont="1" applyFill="1" applyBorder="1" applyAlignment="1" applyProtection="1">
      <alignment horizontal="center" vertical="center" wrapText="1"/>
      <protection hidden="1"/>
    </xf>
    <xf numFmtId="171" fontId="32" fillId="20" borderId="1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178" fontId="32" fillId="20" borderId="8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24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3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168" fontId="32" fillId="0" borderId="0" xfId="0" applyNumberFormat="1" applyFont="1" applyFill="1" applyBorder="1" applyAlignment="1" applyProtection="1">
      <alignment horizontal="center" vertical="center"/>
      <protection hidden="1"/>
    </xf>
    <xf numFmtId="14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14" xfId="0" applyFont="1" applyBorder="1" applyProtection="1">
      <protection hidden="1"/>
    </xf>
    <xf numFmtId="171" fontId="33" fillId="0" borderId="1" xfId="0" applyNumberFormat="1" applyFont="1" applyBorder="1" applyAlignment="1" applyProtection="1">
      <alignment horizontal="center" vertical="center" wrapText="1"/>
      <protection hidden="1"/>
    </xf>
    <xf numFmtId="2" fontId="32" fillId="20" borderId="1" xfId="0" applyNumberFormat="1" applyFont="1" applyFill="1" applyBorder="1" applyAlignment="1" applyProtection="1">
      <alignment horizontal="center" vertical="center"/>
      <protection hidden="1"/>
    </xf>
    <xf numFmtId="0" fontId="33" fillId="0" borderId="24" xfId="0" applyFont="1" applyBorder="1" applyProtection="1">
      <protection hidden="1"/>
    </xf>
    <xf numFmtId="0" fontId="32" fillId="6" borderId="4" xfId="0" applyFont="1" applyFill="1" applyBorder="1" applyAlignment="1" applyProtection="1">
      <alignment horizontal="center" vertical="center"/>
      <protection hidden="1"/>
    </xf>
    <xf numFmtId="175" fontId="32" fillId="0" borderId="42" xfId="0" applyNumberFormat="1" applyFont="1" applyFill="1" applyBorder="1" applyAlignment="1" applyProtection="1">
      <alignment horizontal="center" vertical="center"/>
      <protection hidden="1"/>
    </xf>
    <xf numFmtId="0" fontId="32" fillId="0" borderId="5" xfId="0" applyFont="1" applyFill="1" applyBorder="1" applyAlignment="1" applyProtection="1">
      <alignment horizontal="center" vertical="center"/>
      <protection hidden="1"/>
    </xf>
    <xf numFmtId="175" fontId="32" fillId="2" borderId="5" xfId="0" applyNumberFormat="1" applyFont="1" applyFill="1" applyBorder="1" applyAlignment="1" applyProtection="1">
      <alignment horizontal="center" vertical="center"/>
      <protection hidden="1"/>
    </xf>
    <xf numFmtId="0" fontId="32" fillId="6" borderId="7" xfId="0" applyFont="1" applyFill="1" applyBorder="1" applyAlignment="1" applyProtection="1">
      <alignment vertical="center"/>
      <protection hidden="1"/>
    </xf>
    <xf numFmtId="0" fontId="17" fillId="6" borderId="56" xfId="0" applyFont="1" applyFill="1" applyBorder="1" applyAlignment="1" applyProtection="1">
      <alignment vertical="center"/>
      <protection hidden="1"/>
    </xf>
    <xf numFmtId="0" fontId="17" fillId="6" borderId="41" xfId="0" applyFont="1" applyFill="1" applyBorder="1" applyAlignment="1" applyProtection="1">
      <alignment vertical="center"/>
      <protection hidden="1"/>
    </xf>
    <xf numFmtId="0" fontId="17" fillId="6" borderId="6" xfId="0" applyFont="1" applyFill="1" applyBorder="1" applyAlignment="1" applyProtection="1">
      <alignment vertical="center"/>
      <protection hidden="1"/>
    </xf>
    <xf numFmtId="0" fontId="32" fillId="0" borderId="1" xfId="0" applyFont="1" applyFill="1" applyBorder="1" applyAlignment="1" applyProtection="1">
      <alignment horizontal="center" vertical="center"/>
      <protection hidden="1"/>
    </xf>
    <xf numFmtId="0" fontId="32" fillId="0" borderId="43" xfId="0" applyFont="1" applyFill="1" applyBorder="1" applyAlignment="1" applyProtection="1">
      <alignment horizontal="center" vertical="center"/>
      <protection hidden="1"/>
    </xf>
    <xf numFmtId="0" fontId="32" fillId="0" borderId="42" xfId="0" applyFont="1" applyFill="1" applyBorder="1" applyAlignment="1" applyProtection="1">
      <alignment horizontal="center" vertical="center"/>
      <protection hidden="1"/>
    </xf>
    <xf numFmtId="2" fontId="32" fillId="0" borderId="1" xfId="0" applyNumberFormat="1" applyFont="1" applyFill="1" applyBorder="1" applyAlignment="1" applyProtection="1">
      <alignment vertical="center"/>
      <protection hidden="1"/>
    </xf>
    <xf numFmtId="0" fontId="32" fillId="0" borderId="1" xfId="0" applyFont="1" applyFill="1" applyBorder="1" applyAlignment="1" applyProtection="1">
      <alignment vertical="center"/>
      <protection hidden="1"/>
    </xf>
    <xf numFmtId="0" fontId="32" fillId="0" borderId="43" xfId="0" applyFont="1" applyFill="1" applyBorder="1" applyAlignment="1" applyProtection="1">
      <alignment vertical="center"/>
      <protection hidden="1"/>
    </xf>
    <xf numFmtId="171" fontId="32" fillId="0" borderId="1" xfId="0" applyNumberFormat="1" applyFont="1" applyFill="1" applyBorder="1" applyAlignment="1" applyProtection="1">
      <alignment horizontal="center" vertical="center"/>
      <protection hidden="1"/>
    </xf>
    <xf numFmtId="171" fontId="32" fillId="0" borderId="1" xfId="0" applyNumberFormat="1" applyFont="1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center" vertical="center"/>
      <protection hidden="1"/>
    </xf>
    <xf numFmtId="0" fontId="32" fillId="0" borderId="43" xfId="0" applyFont="1" applyBorder="1" applyAlignment="1" applyProtection="1">
      <alignment horizontal="center" vertical="center"/>
      <protection hidden="1"/>
    </xf>
    <xf numFmtId="0" fontId="32" fillId="0" borderId="7" xfId="0" applyFont="1" applyFill="1" applyBorder="1" applyAlignment="1" applyProtection="1">
      <alignment horizontal="center" vertical="center"/>
      <protection hidden="1"/>
    </xf>
    <xf numFmtId="2" fontId="32" fillId="0" borderId="38" xfId="0" applyNumberFormat="1" applyFont="1" applyFill="1" applyBorder="1" applyAlignment="1" applyProtection="1">
      <alignment vertical="center"/>
      <protection hidden="1"/>
    </xf>
    <xf numFmtId="0" fontId="32" fillId="0" borderId="13" xfId="0" applyFont="1" applyFill="1" applyBorder="1" applyAlignment="1" applyProtection="1">
      <alignment vertical="center"/>
      <protection hidden="1"/>
    </xf>
    <xf numFmtId="0" fontId="32" fillId="0" borderId="8" xfId="0" applyFont="1" applyFill="1" applyBorder="1" applyAlignment="1" applyProtection="1">
      <alignment vertical="center"/>
      <protection hidden="1"/>
    </xf>
    <xf numFmtId="0" fontId="32" fillId="0" borderId="12" xfId="0" applyFont="1" applyFill="1" applyBorder="1" applyAlignment="1" applyProtection="1">
      <protection hidden="1"/>
    </xf>
    <xf numFmtId="175" fontId="32" fillId="0" borderId="7" xfId="0" applyNumberFormat="1" applyFont="1" applyFill="1" applyBorder="1" applyAlignment="1" applyProtection="1">
      <alignment horizontal="center" vertical="center"/>
      <protection hidden="1"/>
    </xf>
    <xf numFmtId="0" fontId="32" fillId="0" borderId="8" xfId="0" applyFont="1" applyBorder="1" applyAlignment="1" applyProtection="1">
      <alignment horizontal="center" vertical="center"/>
      <protection hidden="1"/>
    </xf>
    <xf numFmtId="171" fontId="32" fillId="0" borderId="8" xfId="0" applyNumberFormat="1" applyFont="1" applyBorder="1" applyAlignment="1" applyProtection="1">
      <alignment horizontal="center" vertical="center"/>
      <protection hidden="1"/>
    </xf>
    <xf numFmtId="0" fontId="32" fillId="0" borderId="12" xfId="0" applyFont="1" applyBorder="1" applyAlignment="1" applyProtection="1">
      <alignment horizontal="center" vertical="center"/>
      <protection hidden="1"/>
    </xf>
    <xf numFmtId="0" fontId="37" fillId="0" borderId="0" xfId="0" applyFont="1" applyProtection="1">
      <protection hidden="1"/>
    </xf>
    <xf numFmtId="0" fontId="33" fillId="0" borderId="22" xfId="0" applyFont="1" applyBorder="1" applyAlignment="1" applyProtection="1">
      <protection hidden="1"/>
    </xf>
    <xf numFmtId="0" fontId="33" fillId="0" borderId="52" xfId="0" applyFont="1" applyBorder="1" applyAlignment="1" applyProtection="1">
      <protection hidden="1"/>
    </xf>
    <xf numFmtId="0" fontId="33" fillId="0" borderId="6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2" fontId="8" fillId="6" borderId="20" xfId="0" applyNumberFormat="1" applyFont="1" applyFill="1" applyBorder="1" applyAlignment="1" applyProtection="1">
      <alignment horizontal="center" vertical="center"/>
      <protection hidden="1"/>
    </xf>
    <xf numFmtId="0" fontId="33" fillId="0" borderId="12" xfId="0" applyFont="1" applyFill="1" applyBorder="1" applyProtection="1">
      <protection hidden="1"/>
    </xf>
    <xf numFmtId="0" fontId="32" fillId="0" borderId="44" xfId="0" applyNumberFormat="1" applyFont="1" applyBorder="1" applyAlignment="1" applyProtection="1">
      <protection hidden="1"/>
    </xf>
    <xf numFmtId="0" fontId="32" fillId="0" borderId="20" xfId="0" applyNumberFormat="1" applyFont="1" applyBorder="1" applyAlignment="1" applyProtection="1">
      <protection hidden="1"/>
    </xf>
    <xf numFmtId="0" fontId="33" fillId="0" borderId="45" xfId="0" applyFont="1" applyBorder="1" applyProtection="1">
      <protection hidden="1"/>
    </xf>
    <xf numFmtId="0" fontId="33" fillId="0" borderId="42" xfId="0" applyFont="1" applyBorder="1" applyAlignment="1" applyProtection="1">
      <alignment horizontal="center" vertical="center"/>
      <protection hidden="1"/>
    </xf>
    <xf numFmtId="0" fontId="33" fillId="0" borderId="7" xfId="0" applyFont="1" applyBorder="1" applyProtection="1">
      <protection hidden="1"/>
    </xf>
    <xf numFmtId="0" fontId="33" fillId="0" borderId="12" xfId="0" applyFont="1" applyBorder="1" applyProtection="1">
      <protection hidden="1"/>
    </xf>
    <xf numFmtId="10" fontId="33" fillId="0" borderId="43" xfId="0" applyNumberFormat="1" applyFont="1" applyBorder="1" applyAlignment="1" applyProtection="1">
      <alignment horizontal="center" vertical="center"/>
      <protection hidden="1"/>
    </xf>
    <xf numFmtId="0" fontId="33" fillId="0" borderId="44" xfId="0" applyFont="1" applyBorder="1" applyProtection="1">
      <protection hidden="1"/>
    </xf>
    <xf numFmtId="2" fontId="7" fillId="0" borderId="0" xfId="0" applyNumberFormat="1" applyFont="1" applyFill="1" applyBorder="1" applyProtection="1">
      <protection locked="0" hidden="1"/>
    </xf>
    <xf numFmtId="2" fontId="7" fillId="2" borderId="0" xfId="0" applyNumberFormat="1" applyFont="1" applyFill="1" applyBorder="1" applyAlignment="1" applyProtection="1">
      <alignment vertical="center"/>
      <protection locked="0" hidden="1"/>
    </xf>
    <xf numFmtId="1" fontId="7" fillId="14" borderId="36" xfId="3" applyNumberFormat="1" applyFont="1" applyBorder="1" applyAlignment="1" applyProtection="1">
      <alignment horizontal="center" vertical="center"/>
      <protection locked="0" hidden="1"/>
    </xf>
    <xf numFmtId="1" fontId="7" fillId="14" borderId="16" xfId="3" applyNumberFormat="1" applyFont="1" applyBorder="1" applyAlignment="1" applyProtection="1">
      <alignment horizontal="center" vertical="center" wrapText="1"/>
      <protection locked="0" hidden="1"/>
    </xf>
    <xf numFmtId="1" fontId="8" fillId="14" borderId="36" xfId="3" applyNumberFormat="1" applyFont="1" applyBorder="1" applyAlignment="1" applyProtection="1">
      <alignment horizontal="center" vertical="center"/>
      <protection locked="0" hidden="1"/>
    </xf>
    <xf numFmtId="171" fontId="7" fillId="4" borderId="20" xfId="0" applyNumberFormat="1" applyFont="1" applyFill="1" applyBorder="1" applyAlignment="1" applyProtection="1">
      <alignment horizontal="center" vertical="center" wrapText="1"/>
      <protection locked="0" hidden="1"/>
    </xf>
    <xf numFmtId="171" fontId="7" fillId="4" borderId="20" xfId="0" applyNumberFormat="1" applyFont="1" applyFill="1" applyBorder="1" applyAlignment="1" applyProtection="1">
      <alignment horizontal="center" vertical="center"/>
      <protection locked="0" hidden="1"/>
    </xf>
    <xf numFmtId="176" fontId="7" fillId="4" borderId="20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1" xfId="0" applyNumberFormat="1" applyFont="1" applyFill="1" applyBorder="1" applyAlignment="1" applyProtection="1">
      <alignment horizontal="center" vertical="center"/>
      <protection locked="0" hidden="1"/>
    </xf>
    <xf numFmtId="176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15" xfId="0" applyNumberFormat="1" applyFont="1" applyFill="1" applyBorder="1" applyAlignment="1" applyProtection="1">
      <alignment horizontal="center" vertical="center"/>
      <protection locked="0" hidden="1"/>
    </xf>
    <xf numFmtId="171" fontId="7" fillId="4" borderId="15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36" xfId="0" applyNumberFormat="1" applyFont="1" applyFill="1" applyBorder="1" applyAlignment="1" applyProtection="1">
      <alignment horizontal="center" vertical="center" wrapText="1"/>
      <protection locked="0" hidden="1"/>
    </xf>
    <xf numFmtId="3" fontId="32" fillId="23" borderId="44" xfId="0" applyNumberFormat="1" applyFont="1" applyFill="1" applyBorder="1" applyAlignment="1" applyProtection="1">
      <alignment horizontal="center" vertical="center" wrapText="1"/>
      <protection hidden="1"/>
    </xf>
    <xf numFmtId="171" fontId="7" fillId="7" borderId="1" xfId="0" applyNumberFormat="1" applyFont="1" applyFill="1" applyBorder="1" applyAlignment="1" applyProtection="1">
      <alignment horizontal="center" vertical="center"/>
      <protection hidden="1"/>
    </xf>
    <xf numFmtId="171" fontId="18" fillId="22" borderId="36" xfId="0" applyNumberFormat="1" applyFont="1" applyFill="1" applyBorder="1" applyAlignment="1" applyProtection="1">
      <alignment horizontal="center" vertical="center"/>
      <protection hidden="1"/>
    </xf>
    <xf numFmtId="0" fontId="6" fillId="0" borderId="43" xfId="0" applyFont="1" applyBorder="1" applyAlignment="1" applyProtection="1">
      <alignment horizontal="center" vertical="center"/>
      <protection hidden="1"/>
    </xf>
    <xf numFmtId="2" fontId="7" fillId="9" borderId="20" xfId="0" applyNumberFormat="1" applyFont="1" applyFill="1" applyBorder="1" applyAlignment="1" applyProtection="1">
      <alignment horizontal="center" vertical="center"/>
      <protection hidden="1"/>
    </xf>
    <xf numFmtId="2" fontId="14" fillId="3" borderId="14" xfId="0" applyNumberFormat="1" applyFont="1" applyFill="1" applyBorder="1" applyAlignment="1" applyProtection="1">
      <alignment horizontal="center" vertical="center"/>
      <protection hidden="1"/>
    </xf>
    <xf numFmtId="0" fontId="32" fillId="17" borderId="5" xfId="0" applyFont="1" applyFill="1" applyBorder="1" applyAlignment="1" applyProtection="1">
      <alignment horizontal="center" vertical="center"/>
      <protection hidden="1"/>
    </xf>
    <xf numFmtId="171" fontId="32" fillId="17" borderId="5" xfId="0" applyNumberFormat="1" applyFont="1" applyFill="1" applyBorder="1" applyAlignment="1" applyProtection="1">
      <alignment horizontal="center" vertical="center"/>
      <protection hidden="1"/>
    </xf>
    <xf numFmtId="0" fontId="32" fillId="17" borderId="1" xfId="0" applyFont="1" applyFill="1" applyBorder="1" applyAlignment="1" applyProtection="1">
      <alignment horizontal="center" vertical="center"/>
      <protection hidden="1"/>
    </xf>
    <xf numFmtId="171" fontId="32" fillId="17" borderId="20" xfId="0" applyNumberFormat="1" applyFont="1" applyFill="1" applyBorder="1" applyAlignment="1" applyProtection="1">
      <alignment horizontal="center" vertical="center"/>
      <protection hidden="1"/>
    </xf>
    <xf numFmtId="171" fontId="32" fillId="17" borderId="1" xfId="0" applyNumberFormat="1" applyFont="1" applyFill="1" applyBorder="1" applyAlignment="1" applyProtection="1">
      <alignment horizontal="center" vertical="center"/>
      <protection hidden="1"/>
    </xf>
    <xf numFmtId="0" fontId="32" fillId="17" borderId="4" xfId="0" applyFont="1" applyFill="1" applyBorder="1" applyAlignment="1" applyProtection="1">
      <alignment horizontal="center" vertical="center"/>
      <protection hidden="1"/>
    </xf>
    <xf numFmtId="0" fontId="32" fillId="17" borderId="42" xfId="0" applyFont="1" applyFill="1" applyBorder="1" applyAlignment="1" applyProtection="1">
      <alignment horizontal="center" vertical="center"/>
      <protection hidden="1"/>
    </xf>
    <xf numFmtId="171" fontId="32" fillId="17" borderId="42" xfId="0" applyNumberFormat="1" applyFont="1" applyFill="1" applyBorder="1" applyAlignment="1" applyProtection="1">
      <alignment horizontal="center" vertical="center"/>
      <protection hidden="1"/>
    </xf>
    <xf numFmtId="171" fontId="32" fillId="17" borderId="7" xfId="0" applyNumberFormat="1" applyFont="1" applyFill="1" applyBorder="1" applyAlignment="1" applyProtection="1">
      <alignment horizontal="center" vertical="center"/>
      <protection hidden="1"/>
    </xf>
    <xf numFmtId="0" fontId="32" fillId="17" borderId="8" xfId="0" applyFont="1" applyFill="1" applyBorder="1" applyAlignment="1" applyProtection="1">
      <alignment horizontal="center" vertical="center"/>
      <protection hidden="1"/>
    </xf>
    <xf numFmtId="0" fontId="33" fillId="17" borderId="1" xfId="0" applyFont="1" applyFill="1" applyBorder="1" applyAlignment="1" applyProtection="1">
      <alignment horizontal="center" vertical="center" wrapText="1"/>
      <protection hidden="1"/>
    </xf>
    <xf numFmtId="171" fontId="32" fillId="17" borderId="4" xfId="0" applyNumberFormat="1" applyFont="1" applyFill="1" applyBorder="1" applyAlignment="1" applyProtection="1">
      <alignment horizontal="center" vertical="center"/>
      <protection hidden="1"/>
    </xf>
    <xf numFmtId="178" fontId="32" fillId="17" borderId="1" xfId="0" applyNumberFormat="1" applyFont="1" applyFill="1" applyBorder="1" applyAlignment="1" applyProtection="1">
      <alignment horizontal="center" vertical="center" wrapText="1"/>
      <protection hidden="1"/>
    </xf>
    <xf numFmtId="4" fontId="32" fillId="17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17" borderId="1" xfId="0" applyFill="1" applyBorder="1" applyAlignment="1" applyProtection="1">
      <alignment horizontal="center" vertical="center" wrapText="1"/>
      <protection hidden="1"/>
    </xf>
    <xf numFmtId="0" fontId="32" fillId="17" borderId="7" xfId="0" applyFont="1" applyFill="1" applyBorder="1" applyAlignment="1" applyProtection="1">
      <alignment horizontal="center" vertical="center"/>
      <protection hidden="1"/>
    </xf>
    <xf numFmtId="178" fontId="32" fillId="17" borderId="8" xfId="0" applyNumberFormat="1" applyFont="1" applyFill="1" applyBorder="1" applyAlignment="1" applyProtection="1">
      <alignment horizontal="center" vertical="center" wrapText="1"/>
      <protection hidden="1"/>
    </xf>
    <xf numFmtId="178" fontId="0" fillId="17" borderId="1" xfId="0" applyNumberFormat="1" applyFill="1" applyBorder="1" applyAlignment="1" applyProtection="1">
      <alignment horizontal="center" vertical="center" wrapText="1"/>
      <protection hidden="1"/>
    </xf>
    <xf numFmtId="4" fontId="0" fillId="17" borderId="1" xfId="0" applyNumberFormat="1" applyFill="1" applyBorder="1" applyAlignment="1" applyProtection="1">
      <alignment horizontal="center" vertical="center" wrapText="1"/>
      <protection hidden="1"/>
    </xf>
    <xf numFmtId="171" fontId="32" fillId="17" borderId="8" xfId="0" applyNumberFormat="1" applyFont="1" applyFill="1" applyBorder="1" applyAlignment="1" applyProtection="1">
      <alignment horizontal="center" vertical="center"/>
      <protection hidden="1"/>
    </xf>
    <xf numFmtId="2" fontId="32" fillId="17" borderId="1" xfId="0" applyNumberFormat="1" applyFont="1" applyFill="1" applyBorder="1" applyAlignment="1" applyProtection="1">
      <alignment horizontal="center" vertical="center"/>
      <protection hidden="1"/>
    </xf>
    <xf numFmtId="171" fontId="33" fillId="17" borderId="1" xfId="0" applyNumberFormat="1" applyFont="1" applyFill="1" applyBorder="1" applyAlignment="1" applyProtection="1">
      <alignment horizontal="center" vertical="center" wrapText="1"/>
      <protection hidden="1"/>
    </xf>
    <xf numFmtId="0" fontId="45" fillId="13" borderId="52" xfId="0" applyFont="1" applyFill="1" applyBorder="1" applyAlignment="1">
      <alignment horizontal="center" vertical="center"/>
    </xf>
    <xf numFmtId="0" fontId="45" fillId="13" borderId="52" xfId="0" applyFont="1" applyFill="1" applyBorder="1" applyAlignment="1">
      <alignment horizontal="center" vertical="center" wrapText="1"/>
    </xf>
    <xf numFmtId="0" fontId="45" fillId="13" borderId="52" xfId="0" applyFont="1" applyFill="1" applyBorder="1" applyAlignment="1" applyProtection="1">
      <alignment horizontal="center" vertical="center" wrapText="1"/>
    </xf>
    <xf numFmtId="0" fontId="45" fillId="13" borderId="60" xfId="0" applyFont="1" applyFill="1" applyBorder="1" applyAlignment="1">
      <alignment horizontal="center" vertical="center" wrapText="1"/>
    </xf>
    <xf numFmtId="0" fontId="33" fillId="0" borderId="4" xfId="0" applyFont="1" applyBorder="1" applyProtection="1">
      <protection hidden="1"/>
    </xf>
    <xf numFmtId="3" fontId="33" fillId="17" borderId="42" xfId="0" applyNumberFormat="1" applyFont="1" applyFill="1" applyBorder="1" applyAlignment="1" applyProtection="1">
      <alignment horizontal="center" vertical="center"/>
      <protection hidden="1"/>
    </xf>
    <xf numFmtId="0" fontId="33" fillId="17" borderId="1" xfId="0" applyFont="1" applyFill="1" applyBorder="1" applyAlignment="1" applyProtection="1">
      <alignment horizontal="center" vertical="center"/>
      <protection hidden="1"/>
    </xf>
    <xf numFmtId="3" fontId="33" fillId="17" borderId="1" xfId="0" applyNumberFormat="1" applyFont="1" applyFill="1" applyBorder="1" applyAlignment="1" applyProtection="1">
      <alignment horizontal="center" vertical="center" wrapText="1"/>
      <protection hidden="1"/>
    </xf>
    <xf numFmtId="168" fontId="33" fillId="17" borderId="1" xfId="0" applyNumberFormat="1" applyFont="1" applyFill="1" applyBorder="1" applyAlignment="1" applyProtection="1">
      <alignment horizontal="center" vertical="center" wrapText="1"/>
      <protection hidden="1"/>
    </xf>
    <xf numFmtId="169" fontId="33" fillId="17" borderId="1" xfId="0" applyNumberFormat="1" applyFont="1" applyFill="1" applyBorder="1" applyAlignment="1" applyProtection="1">
      <alignment horizontal="center" vertical="center"/>
      <protection hidden="1"/>
    </xf>
    <xf numFmtId="171" fontId="33" fillId="17" borderId="1" xfId="0" applyNumberFormat="1" applyFont="1" applyFill="1" applyBorder="1" applyAlignment="1" applyProtection="1">
      <alignment horizontal="center" vertical="center"/>
      <protection hidden="1"/>
    </xf>
    <xf numFmtId="2" fontId="33" fillId="17" borderId="1" xfId="0" applyNumberFormat="1" applyFont="1" applyFill="1" applyBorder="1" applyAlignment="1" applyProtection="1">
      <alignment horizontal="center" vertical="center"/>
      <protection hidden="1"/>
    </xf>
    <xf numFmtId="49" fontId="33" fillId="17" borderId="1" xfId="0" applyNumberFormat="1" applyFont="1" applyFill="1" applyBorder="1" applyAlignment="1" applyProtection="1">
      <alignment horizontal="center" vertical="center" wrapText="1"/>
      <protection hidden="1"/>
    </xf>
    <xf numFmtId="3" fontId="33" fillId="17" borderId="7" xfId="0" applyNumberFormat="1" applyFont="1" applyFill="1" applyBorder="1" applyAlignment="1" applyProtection="1">
      <alignment horizontal="center" vertical="center"/>
      <protection hidden="1"/>
    </xf>
    <xf numFmtId="3" fontId="33" fillId="17" borderId="8" xfId="0" applyNumberFormat="1" applyFont="1" applyFill="1" applyBorder="1" applyAlignment="1" applyProtection="1">
      <alignment horizontal="center" vertical="center"/>
      <protection hidden="1"/>
    </xf>
    <xf numFmtId="168" fontId="33" fillId="17" borderId="8" xfId="0" applyNumberFormat="1" applyFont="1" applyFill="1" applyBorder="1" applyAlignment="1" applyProtection="1">
      <alignment horizontal="center" vertical="center" wrapText="1"/>
      <protection hidden="1"/>
    </xf>
    <xf numFmtId="0" fontId="33" fillId="17" borderId="8" xfId="0" applyFont="1" applyFill="1" applyBorder="1" applyAlignment="1" applyProtection="1">
      <alignment horizontal="center" vertical="center" wrapText="1"/>
      <protection hidden="1"/>
    </xf>
    <xf numFmtId="0" fontId="33" fillId="17" borderId="8" xfId="0" applyFont="1" applyFill="1" applyBorder="1" applyAlignment="1" applyProtection="1">
      <alignment horizontal="center" vertical="center"/>
      <protection hidden="1"/>
    </xf>
    <xf numFmtId="169" fontId="33" fillId="17" borderId="8" xfId="0" applyNumberFormat="1" applyFont="1" applyFill="1" applyBorder="1" applyAlignment="1" applyProtection="1">
      <alignment horizontal="center" vertical="center"/>
      <protection hidden="1"/>
    </xf>
    <xf numFmtId="0" fontId="33" fillId="17" borderId="4" xfId="0" applyFont="1" applyFill="1" applyBorder="1" applyAlignment="1" applyProtection="1">
      <alignment horizontal="center" vertical="center" wrapText="1"/>
      <protection hidden="1"/>
    </xf>
    <xf numFmtId="0" fontId="33" fillId="17" borderId="5" xfId="0" applyFont="1" applyFill="1" applyBorder="1" applyAlignment="1" applyProtection="1">
      <alignment horizontal="center" vertical="center"/>
      <protection hidden="1"/>
    </xf>
    <xf numFmtId="168" fontId="33" fillId="17" borderId="58" xfId="0" applyNumberFormat="1" applyFont="1" applyFill="1" applyBorder="1" applyAlignment="1" applyProtection="1">
      <alignment horizontal="center" vertical="center"/>
      <protection hidden="1"/>
    </xf>
    <xf numFmtId="0" fontId="33" fillId="17" borderId="62" xfId="0" applyFont="1" applyFill="1" applyBorder="1" applyAlignment="1" applyProtection="1">
      <alignment horizontal="center" vertical="center"/>
      <protection hidden="1"/>
    </xf>
    <xf numFmtId="0" fontId="33" fillId="17" borderId="71" xfId="0" applyFont="1" applyFill="1" applyBorder="1" applyAlignment="1" applyProtection="1">
      <alignment horizontal="center" vertical="center"/>
      <protection hidden="1"/>
    </xf>
    <xf numFmtId="0" fontId="33" fillId="17" borderId="67" xfId="0" applyFont="1" applyFill="1" applyBorder="1" applyAlignment="1" applyProtection="1">
      <alignment horizontal="center" vertical="center"/>
      <protection hidden="1"/>
    </xf>
    <xf numFmtId="2" fontId="33" fillId="17" borderId="65" xfId="0" applyNumberFormat="1" applyFont="1" applyFill="1" applyBorder="1" applyAlignment="1" applyProtection="1">
      <alignment horizontal="center" vertical="center"/>
      <protection hidden="1"/>
    </xf>
    <xf numFmtId="166" fontId="33" fillId="17" borderId="5" xfId="0" applyNumberFormat="1" applyFont="1" applyFill="1" applyBorder="1" applyAlignment="1" applyProtection="1">
      <alignment horizontal="center" vertical="center"/>
      <protection hidden="1"/>
    </xf>
    <xf numFmtId="2" fontId="33" fillId="17" borderId="5" xfId="0" applyNumberFormat="1" applyFont="1" applyFill="1" applyBorder="1" applyAlignment="1" applyProtection="1">
      <alignment horizontal="center" vertical="center"/>
      <protection hidden="1"/>
    </xf>
    <xf numFmtId="169" fontId="33" fillId="17" borderId="5" xfId="0" applyNumberFormat="1" applyFont="1" applyFill="1" applyBorder="1" applyAlignment="1" applyProtection="1">
      <alignment horizontal="center" vertical="center"/>
      <protection hidden="1"/>
    </xf>
    <xf numFmtId="0" fontId="33" fillId="17" borderId="40" xfId="0" applyFont="1" applyFill="1" applyBorder="1" applyAlignment="1" applyProtection="1">
      <alignment horizontal="center" vertical="center"/>
      <protection hidden="1"/>
    </xf>
    <xf numFmtId="0" fontId="33" fillId="17" borderId="42" xfId="0" applyFont="1" applyFill="1" applyBorder="1" applyAlignment="1" applyProtection="1">
      <alignment horizontal="center" vertical="center" wrapText="1"/>
      <protection hidden="1"/>
    </xf>
    <xf numFmtId="168" fontId="33" fillId="17" borderId="2" xfId="0" applyNumberFormat="1" applyFont="1" applyFill="1" applyBorder="1" applyAlignment="1" applyProtection="1">
      <alignment horizontal="center" vertical="center"/>
      <protection hidden="1"/>
    </xf>
    <xf numFmtId="0" fontId="33" fillId="17" borderId="63" xfId="0" applyFont="1" applyFill="1" applyBorder="1" applyAlignment="1" applyProtection="1">
      <alignment horizontal="center" vertical="center"/>
      <protection hidden="1"/>
    </xf>
    <xf numFmtId="0" fontId="33" fillId="17" borderId="72" xfId="0" applyFont="1" applyFill="1" applyBorder="1" applyAlignment="1" applyProtection="1">
      <alignment horizontal="center" vertical="center"/>
      <protection hidden="1"/>
    </xf>
    <xf numFmtId="0" fontId="33" fillId="17" borderId="68" xfId="0" applyFont="1" applyFill="1" applyBorder="1" applyAlignment="1" applyProtection="1">
      <alignment horizontal="center" vertical="center"/>
      <protection hidden="1"/>
    </xf>
    <xf numFmtId="0" fontId="33" fillId="17" borderId="3" xfId="0" applyFont="1" applyFill="1" applyBorder="1" applyAlignment="1" applyProtection="1">
      <alignment horizontal="center" vertical="center"/>
      <protection hidden="1"/>
    </xf>
    <xf numFmtId="165" fontId="33" fillId="17" borderId="1" xfId="0" applyNumberFormat="1" applyFont="1" applyFill="1" applyBorder="1" applyAlignment="1" applyProtection="1">
      <alignment horizontal="center" vertical="center"/>
      <protection hidden="1"/>
    </xf>
    <xf numFmtId="0" fontId="33" fillId="17" borderId="43" xfId="0" applyFont="1" applyFill="1" applyBorder="1" applyAlignment="1" applyProtection="1">
      <alignment horizontal="center" vertical="center"/>
      <protection hidden="1"/>
    </xf>
    <xf numFmtId="0" fontId="33" fillId="17" borderId="7" xfId="0" applyFont="1" applyFill="1" applyBorder="1" applyAlignment="1" applyProtection="1">
      <alignment horizontal="center" vertical="center" wrapText="1"/>
      <protection hidden="1"/>
    </xf>
    <xf numFmtId="168" fontId="33" fillId="17" borderId="38" xfId="0" applyNumberFormat="1" applyFont="1" applyFill="1" applyBorder="1" applyAlignment="1" applyProtection="1">
      <alignment horizontal="center" vertical="center"/>
      <protection hidden="1"/>
    </xf>
    <xf numFmtId="0" fontId="33" fillId="17" borderId="64" xfId="0" applyFont="1" applyFill="1" applyBorder="1" applyAlignment="1" applyProtection="1">
      <alignment horizontal="center" vertical="center"/>
      <protection hidden="1"/>
    </xf>
    <xf numFmtId="0" fontId="33" fillId="17" borderId="73" xfId="0" applyFont="1" applyFill="1" applyBorder="1" applyAlignment="1" applyProtection="1">
      <alignment horizontal="center" vertical="center"/>
      <protection hidden="1"/>
    </xf>
    <xf numFmtId="0" fontId="33" fillId="17" borderId="69" xfId="0" applyFont="1" applyFill="1" applyBorder="1" applyAlignment="1" applyProtection="1">
      <alignment horizontal="center" vertical="center"/>
      <protection hidden="1"/>
    </xf>
    <xf numFmtId="0" fontId="33" fillId="17" borderId="13" xfId="0" applyFont="1" applyFill="1" applyBorder="1" applyAlignment="1" applyProtection="1">
      <alignment horizontal="center" vertical="center"/>
      <protection hidden="1"/>
    </xf>
    <xf numFmtId="171" fontId="33" fillId="17" borderId="8" xfId="0" applyNumberFormat="1" applyFont="1" applyFill="1" applyBorder="1" applyAlignment="1" applyProtection="1">
      <alignment horizontal="center" vertical="center"/>
      <protection hidden="1"/>
    </xf>
    <xf numFmtId="0" fontId="33" fillId="17" borderId="12" xfId="0" applyFont="1" applyFill="1" applyBorder="1" applyAlignment="1" applyProtection="1">
      <alignment horizontal="center" vertical="center"/>
      <protection hidden="1"/>
    </xf>
    <xf numFmtId="0" fontId="33" fillId="17" borderId="44" xfId="0" applyFont="1" applyFill="1" applyBorder="1" applyAlignment="1" applyProtection="1">
      <alignment horizontal="center" vertical="center" wrapText="1"/>
      <protection hidden="1"/>
    </xf>
    <xf numFmtId="0" fontId="33" fillId="17" borderId="20" xfId="0" applyFont="1" applyFill="1" applyBorder="1" applyAlignment="1" applyProtection="1">
      <alignment horizontal="center" vertical="center"/>
      <protection hidden="1"/>
    </xf>
    <xf numFmtId="168" fontId="33" fillId="17" borderId="17" xfId="0" applyNumberFormat="1" applyFont="1" applyFill="1" applyBorder="1" applyAlignment="1" applyProtection="1">
      <alignment horizontal="center" vertical="center"/>
      <protection hidden="1"/>
    </xf>
    <xf numFmtId="0" fontId="33" fillId="17" borderId="66" xfId="0" applyFont="1" applyFill="1" applyBorder="1" applyAlignment="1" applyProtection="1">
      <alignment horizontal="center" vertical="center"/>
      <protection hidden="1"/>
    </xf>
    <xf numFmtId="0" fontId="33" fillId="17" borderId="74" xfId="0" applyFont="1" applyFill="1" applyBorder="1" applyAlignment="1" applyProtection="1">
      <alignment horizontal="center" vertical="center"/>
      <protection hidden="1"/>
    </xf>
    <xf numFmtId="0" fontId="33" fillId="17" borderId="70" xfId="0" applyFont="1" applyFill="1" applyBorder="1" applyAlignment="1" applyProtection="1">
      <alignment horizontal="center" vertical="center"/>
      <protection hidden="1"/>
    </xf>
    <xf numFmtId="0" fontId="33" fillId="17" borderId="18" xfId="0" applyFont="1" applyFill="1" applyBorder="1" applyAlignment="1" applyProtection="1">
      <alignment horizontal="center" vertical="center"/>
      <protection hidden="1"/>
    </xf>
    <xf numFmtId="169" fontId="33" fillId="17" borderId="20" xfId="0" applyNumberFormat="1" applyFont="1" applyFill="1" applyBorder="1" applyAlignment="1" applyProtection="1">
      <alignment horizontal="center" vertical="center"/>
      <protection hidden="1"/>
    </xf>
    <xf numFmtId="0" fontId="33" fillId="17" borderId="45" xfId="0" applyFont="1" applyFill="1" applyBorder="1" applyAlignment="1" applyProtection="1">
      <alignment horizontal="center" vertical="center"/>
      <protection hidden="1"/>
    </xf>
    <xf numFmtId="0" fontId="33" fillId="17" borderId="46" xfId="0" applyFont="1" applyFill="1" applyBorder="1" applyAlignment="1" applyProtection="1">
      <alignment horizontal="center" vertical="center"/>
      <protection hidden="1"/>
    </xf>
    <xf numFmtId="0" fontId="33" fillId="17" borderId="33" xfId="0" applyFont="1" applyFill="1" applyBorder="1" applyAlignment="1" applyProtection="1">
      <alignment horizontal="center" vertical="center"/>
      <protection hidden="1"/>
    </xf>
    <xf numFmtId="0" fontId="33" fillId="17" borderId="26" xfId="0" applyFont="1" applyFill="1" applyBorder="1" applyAlignment="1" applyProtection="1">
      <alignment horizontal="center" vertical="center"/>
      <protection hidden="1"/>
    </xf>
    <xf numFmtId="0" fontId="33" fillId="17" borderId="75" xfId="0" applyFont="1" applyFill="1" applyBorder="1" applyAlignment="1" applyProtection="1">
      <alignment horizontal="center" vertical="center"/>
      <protection hidden="1"/>
    </xf>
    <xf numFmtId="0" fontId="33" fillId="17" borderId="29" xfId="0" applyFont="1" applyFill="1" applyBorder="1" applyAlignment="1" applyProtection="1">
      <alignment horizontal="center" vertical="center"/>
      <protection hidden="1"/>
    </xf>
    <xf numFmtId="169" fontId="33" fillId="17" borderId="33" xfId="0" applyNumberFormat="1" applyFont="1" applyFill="1" applyBorder="1" applyAlignment="1" applyProtection="1">
      <alignment horizontal="center" vertical="center"/>
      <protection hidden="1"/>
    </xf>
    <xf numFmtId="0" fontId="33" fillId="17" borderId="47" xfId="0" applyFont="1" applyFill="1" applyBorder="1" applyAlignment="1" applyProtection="1">
      <alignment horizontal="center" vertical="center"/>
      <protection hidden="1"/>
    </xf>
    <xf numFmtId="0" fontId="33" fillId="17" borderId="65" xfId="0" applyFont="1" applyFill="1" applyBorder="1" applyAlignment="1" applyProtection="1">
      <alignment horizontal="center" vertical="center"/>
      <protection hidden="1"/>
    </xf>
    <xf numFmtId="164" fontId="33" fillId="17" borderId="5" xfId="0" applyNumberFormat="1" applyFont="1" applyFill="1" applyBorder="1" applyAlignment="1" applyProtection="1">
      <alignment horizontal="center" vertical="center"/>
      <protection hidden="1"/>
    </xf>
    <xf numFmtId="164" fontId="33" fillId="17" borderId="3" xfId="0" applyNumberFormat="1" applyFont="1" applyFill="1" applyBorder="1" applyAlignment="1" applyProtection="1">
      <alignment horizontal="center" vertical="center"/>
      <protection hidden="1"/>
    </xf>
    <xf numFmtId="166" fontId="33" fillId="17" borderId="1" xfId="0" applyNumberFormat="1" applyFont="1" applyFill="1" applyBorder="1" applyAlignment="1" applyProtection="1">
      <alignment horizontal="center" vertical="center"/>
      <protection hidden="1"/>
    </xf>
    <xf numFmtId="164" fontId="33" fillId="17" borderId="1" xfId="0" applyNumberFormat="1" applyFont="1" applyFill="1" applyBorder="1" applyAlignment="1" applyProtection="1">
      <alignment horizontal="center" vertical="center"/>
      <protection hidden="1"/>
    </xf>
    <xf numFmtId="0" fontId="33" fillId="17" borderId="72" xfId="0" applyFont="1" applyFill="1" applyBorder="1" applyProtection="1">
      <protection hidden="1"/>
    </xf>
    <xf numFmtId="0" fontId="33" fillId="17" borderId="68" xfId="4" applyFont="1" applyFill="1" applyBorder="1" applyProtection="1">
      <alignment horizontal="center" vertical="center"/>
      <protection hidden="1"/>
    </xf>
    <xf numFmtId="0" fontId="33" fillId="17" borderId="72" xfId="4" applyFont="1" applyFill="1" applyBorder="1" applyProtection="1">
      <alignment horizontal="center" vertical="center"/>
      <protection hidden="1"/>
    </xf>
    <xf numFmtId="171" fontId="33" fillId="17" borderId="3" xfId="0" applyNumberFormat="1" applyFont="1" applyFill="1" applyBorder="1" applyAlignment="1" applyProtection="1">
      <alignment horizontal="center" vertical="center"/>
      <protection hidden="1"/>
    </xf>
    <xf numFmtId="0" fontId="33" fillId="17" borderId="68" xfId="0" applyFont="1" applyFill="1" applyBorder="1" applyProtection="1">
      <protection hidden="1"/>
    </xf>
    <xf numFmtId="0" fontId="33" fillId="17" borderId="73" xfId="4" applyFont="1" applyFill="1" applyBorder="1" applyProtection="1">
      <alignment horizontal="center" vertical="center"/>
      <protection hidden="1"/>
    </xf>
    <xf numFmtId="0" fontId="33" fillId="17" borderId="69" xfId="0" applyFont="1" applyFill="1" applyBorder="1" applyProtection="1">
      <protection hidden="1"/>
    </xf>
    <xf numFmtId="0" fontId="33" fillId="17" borderId="71" xfId="4" applyFont="1" applyFill="1" applyBorder="1" applyProtection="1">
      <alignment horizontal="center" vertical="center"/>
      <protection hidden="1"/>
    </xf>
    <xf numFmtId="0" fontId="33" fillId="17" borderId="67" xfId="0" applyFont="1" applyFill="1" applyBorder="1" applyProtection="1">
      <protection hidden="1"/>
    </xf>
    <xf numFmtId="165" fontId="33" fillId="17" borderId="5" xfId="0" applyNumberFormat="1" applyFont="1" applyFill="1" applyBorder="1" applyAlignment="1" applyProtection="1">
      <alignment horizontal="center" vertical="center"/>
      <protection hidden="1"/>
    </xf>
    <xf numFmtId="2" fontId="33" fillId="17" borderId="3" xfId="0" applyNumberFormat="1" applyFont="1" applyFill="1" applyBorder="1" applyAlignment="1" applyProtection="1">
      <alignment horizontal="center" vertical="center"/>
      <protection hidden="1"/>
    </xf>
    <xf numFmtId="0" fontId="33" fillId="17" borderId="69" xfId="4" applyFont="1" applyFill="1" applyBorder="1" applyProtection="1">
      <alignment horizontal="center" vertical="center"/>
      <protection hidden="1"/>
    </xf>
    <xf numFmtId="0" fontId="33" fillId="17" borderId="74" xfId="4" applyFont="1" applyFill="1" applyBorder="1" applyProtection="1">
      <alignment horizontal="center" vertical="center"/>
      <protection hidden="1"/>
    </xf>
    <xf numFmtId="0" fontId="33" fillId="17" borderId="70" xfId="4" applyFont="1" applyFill="1" applyBorder="1" applyProtection="1">
      <alignment horizontal="center" vertical="center"/>
      <protection hidden="1"/>
    </xf>
    <xf numFmtId="2" fontId="33" fillId="17" borderId="18" xfId="0" applyNumberFormat="1" applyFont="1" applyFill="1" applyBorder="1" applyAlignment="1" applyProtection="1">
      <alignment horizontal="center" vertical="center"/>
      <protection hidden="1"/>
    </xf>
    <xf numFmtId="165" fontId="33" fillId="17" borderId="20" xfId="0" applyNumberFormat="1" applyFont="1" applyFill="1" applyBorder="1" applyAlignment="1" applyProtection="1">
      <alignment horizontal="center" vertical="center"/>
      <protection hidden="1"/>
    </xf>
    <xf numFmtId="2" fontId="33" fillId="17" borderId="20" xfId="0" applyNumberFormat="1" applyFont="1" applyFill="1" applyBorder="1" applyAlignment="1" applyProtection="1">
      <alignment horizontal="center" vertical="center"/>
      <protection hidden="1"/>
    </xf>
    <xf numFmtId="0" fontId="32" fillId="25" borderId="14" xfId="0" applyFont="1" applyFill="1" applyBorder="1" applyAlignment="1" applyProtection="1">
      <alignment horizontal="center" vertical="center"/>
      <protection hidden="1"/>
    </xf>
    <xf numFmtId="171" fontId="18" fillId="22" borderId="41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protection hidden="1"/>
    </xf>
    <xf numFmtId="0" fontId="30" fillId="0" borderId="0" xfId="0" applyFont="1" applyAlignment="1" applyProtection="1">
      <alignment vertical="center" wrapText="1"/>
      <protection hidden="1"/>
    </xf>
    <xf numFmtId="0" fontId="33" fillId="0" borderId="0" xfId="0" applyFont="1" applyAlignment="1" applyProtection="1">
      <alignment horizontal="left"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14" fontId="33" fillId="0" borderId="0" xfId="0" applyNumberFormat="1" applyFont="1" applyBorder="1" applyAlignment="1" applyProtection="1">
      <alignment vertical="center" wrapText="1"/>
      <protection hidden="1"/>
    </xf>
    <xf numFmtId="168" fontId="33" fillId="0" borderId="0" xfId="0" applyNumberFormat="1" applyFont="1" applyAlignment="1" applyProtection="1">
      <alignment horizontal="left" vertical="center" wrapText="1"/>
      <protection hidden="1"/>
    </xf>
    <xf numFmtId="2" fontId="33" fillId="0" borderId="0" xfId="0" applyNumberFormat="1" applyFont="1" applyBorder="1" applyAlignment="1" applyProtection="1">
      <alignment horizontal="left" vertical="center" wrapText="1"/>
      <protection hidden="1"/>
    </xf>
    <xf numFmtId="0" fontId="33" fillId="0" borderId="0" xfId="0" applyFont="1" applyBorder="1" applyAlignment="1" applyProtection="1">
      <alignment horizontal="left" vertical="center" wrapText="1"/>
      <protection hidden="1"/>
    </xf>
    <xf numFmtId="0" fontId="37" fillId="0" borderId="0" xfId="0" applyFont="1" applyBorder="1" applyAlignment="1" applyProtection="1">
      <alignment horizontal="left" vertical="center" wrapText="1"/>
      <protection hidden="1"/>
    </xf>
    <xf numFmtId="0" fontId="32" fillId="0" borderId="0" xfId="0" applyFont="1" applyBorder="1" applyAlignment="1" applyProtection="1">
      <alignment horizontal="justify" vertical="justify" wrapText="1" readingOrder="1"/>
      <protection hidden="1"/>
    </xf>
    <xf numFmtId="168" fontId="33" fillId="0" borderId="0" xfId="0" applyNumberFormat="1" applyFont="1" applyBorder="1" applyAlignment="1" applyProtection="1">
      <alignment horizontal="left" vertical="center" wrapText="1"/>
      <protection hidden="1"/>
    </xf>
    <xf numFmtId="168" fontId="37" fillId="0" borderId="0" xfId="0" applyNumberFormat="1" applyFont="1" applyBorder="1" applyAlignment="1" applyProtection="1">
      <alignment horizontal="left" vertical="center" wrapText="1"/>
      <protection hidden="1"/>
    </xf>
    <xf numFmtId="0" fontId="30" fillId="0" borderId="0" xfId="0" applyFont="1" applyBorder="1" applyAlignment="1" applyProtection="1">
      <alignment horizontal="left" vertical="center" wrapText="1"/>
      <protection hidden="1"/>
    </xf>
    <xf numFmtId="1" fontId="33" fillId="0" borderId="0" xfId="0" applyNumberFormat="1" applyFont="1" applyBorder="1" applyAlignment="1" applyProtection="1">
      <alignment horizontal="left" vertical="center" wrapText="1"/>
      <protection hidden="1"/>
    </xf>
    <xf numFmtId="171" fontId="33" fillId="0" borderId="0" xfId="0" applyNumberFormat="1" applyFont="1" applyBorder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33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2" fontId="33" fillId="0" borderId="0" xfId="0" applyNumberFormat="1" applyFont="1" applyBorder="1" applyAlignment="1" applyProtection="1">
      <alignment vertical="center"/>
      <protection hidden="1"/>
    </xf>
    <xf numFmtId="0" fontId="46" fillId="0" borderId="0" xfId="0" applyFont="1" applyBorder="1" applyAlignment="1" applyProtection="1">
      <alignment horizontal="left" vertical="center" wrapText="1"/>
      <protection hidden="1"/>
    </xf>
    <xf numFmtId="2" fontId="33" fillId="0" borderId="0" xfId="0" applyNumberFormat="1" applyFont="1" applyBorder="1" applyAlignment="1" applyProtection="1">
      <alignment horizontal="center" vertical="center" wrapText="1"/>
      <protection hidden="1"/>
    </xf>
    <xf numFmtId="2" fontId="30" fillId="2" borderId="0" xfId="0" applyNumberFormat="1" applyFont="1" applyFill="1" applyAlignment="1" applyProtection="1">
      <alignment vertical="center"/>
      <protection hidden="1"/>
    </xf>
    <xf numFmtId="0" fontId="33" fillId="0" borderId="0" xfId="0" applyFont="1" applyBorder="1" applyAlignment="1" applyProtection="1">
      <alignment vertical="center" wrapText="1"/>
      <protection hidden="1"/>
    </xf>
    <xf numFmtId="0" fontId="30" fillId="0" borderId="0" xfId="0" applyFont="1" applyAlignment="1" applyProtection="1">
      <alignment horizontal="left" vertical="center" wrapText="1"/>
      <protection hidden="1"/>
    </xf>
    <xf numFmtId="0" fontId="47" fillId="0" borderId="36" xfId="0" applyFont="1" applyBorder="1" applyAlignment="1" applyProtection="1">
      <alignment horizontal="center" vertical="center" wrapText="1"/>
      <protection hidden="1"/>
    </xf>
    <xf numFmtId="0" fontId="47" fillId="0" borderId="16" xfId="0" applyFont="1" applyBorder="1" applyAlignment="1" applyProtection="1">
      <alignment horizontal="center" vertical="center" wrapText="1"/>
      <protection hidden="1"/>
    </xf>
    <xf numFmtId="171" fontId="33" fillId="0" borderId="35" xfId="0" applyNumberFormat="1" applyFont="1" applyBorder="1" applyAlignment="1" applyProtection="1">
      <alignment horizontal="center" vertical="center" wrapText="1"/>
      <protection hidden="1"/>
    </xf>
    <xf numFmtId="171" fontId="33" fillId="0" borderId="6" xfId="0" applyNumberFormat="1" applyFont="1" applyBorder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horizontal="left" vertical="center" wrapText="1"/>
      <protection hidden="1"/>
    </xf>
    <xf numFmtId="168" fontId="33" fillId="0" borderId="0" xfId="0" applyNumberFormat="1" applyFont="1" applyBorder="1" applyAlignment="1" applyProtection="1">
      <alignment horizontal="center" vertical="center" wrapText="1"/>
      <protection hidden="1"/>
    </xf>
    <xf numFmtId="2" fontId="30" fillId="0" borderId="36" xfId="0" applyNumberFormat="1" applyFont="1" applyBorder="1" applyAlignment="1" applyProtection="1">
      <alignment horizontal="center" vertical="center" wrapText="1"/>
      <protection hidden="1"/>
    </xf>
    <xf numFmtId="1" fontId="30" fillId="0" borderId="16" xfId="0" applyNumberFormat="1" applyFont="1" applyBorder="1" applyAlignment="1" applyProtection="1">
      <alignment horizontal="center" vertical="center" wrapText="1"/>
      <protection hidden="1"/>
    </xf>
    <xf numFmtId="2" fontId="30" fillId="0" borderId="16" xfId="0" applyNumberFormat="1" applyFont="1" applyBorder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0" fontId="30" fillId="0" borderId="16" xfId="0" applyFont="1" applyBorder="1" applyAlignment="1" applyProtection="1">
      <alignment horizontal="center" vertical="center" wrapText="1"/>
      <protection hidden="1"/>
    </xf>
    <xf numFmtId="1" fontId="33" fillId="0" borderId="20" xfId="0" applyNumberFormat="1" applyFont="1" applyBorder="1" applyAlignment="1" applyProtection="1">
      <alignment horizontal="center" vertical="center" wrapText="1"/>
      <protection hidden="1"/>
    </xf>
    <xf numFmtId="171" fontId="33" fillId="0" borderId="18" xfId="0" applyNumberFormat="1" applyFont="1" applyBorder="1" applyAlignment="1" applyProtection="1">
      <alignment horizontal="center" vertical="center" wrapText="1"/>
      <protection hidden="1"/>
    </xf>
    <xf numFmtId="171" fontId="33" fillId="0" borderId="20" xfId="0" applyNumberFormat="1" applyFont="1" applyBorder="1" applyAlignment="1" applyProtection="1">
      <alignment horizontal="center" vertical="center" wrapText="1"/>
      <protection hidden="1"/>
    </xf>
    <xf numFmtId="1" fontId="33" fillId="0" borderId="1" xfId="0" applyNumberFormat="1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2" fontId="33" fillId="0" borderId="1" xfId="0" applyNumberFormat="1" applyFont="1" applyBorder="1" applyAlignment="1" applyProtection="1">
      <alignment horizontal="center" vertical="center" wrapText="1"/>
      <protection hidden="1"/>
    </xf>
    <xf numFmtId="171" fontId="33" fillId="0" borderId="0" xfId="0" applyNumberFormat="1" applyFont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left" vertical="justify" wrapText="1"/>
      <protection hidden="1"/>
    </xf>
    <xf numFmtId="2" fontId="17" fillId="0" borderId="36" xfId="0" applyNumberFormat="1" applyFont="1" applyBorder="1" applyAlignment="1" applyProtection="1">
      <alignment horizontal="center" vertical="center" wrapText="1"/>
      <protection hidden="1"/>
    </xf>
    <xf numFmtId="1" fontId="17" fillId="0" borderId="36" xfId="0" applyNumberFormat="1" applyFont="1" applyBorder="1" applyAlignment="1" applyProtection="1">
      <alignment horizontal="center" vertical="center" wrapText="1"/>
      <protection hidden="1"/>
    </xf>
    <xf numFmtId="0" fontId="17" fillId="0" borderId="36" xfId="0" applyFont="1" applyBorder="1" applyAlignment="1" applyProtection="1">
      <alignment horizontal="center" vertical="center" wrapText="1"/>
      <protection hidden="1"/>
    </xf>
    <xf numFmtId="2" fontId="17" fillId="2" borderId="9" xfId="0" applyNumberFormat="1" applyFont="1" applyFill="1" applyBorder="1" applyAlignment="1" applyProtection="1">
      <alignment horizontal="center" vertical="center"/>
      <protection hidden="1"/>
    </xf>
    <xf numFmtId="2" fontId="17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17" fillId="2" borderId="11" xfId="0" applyNumberFormat="1" applyFont="1" applyFill="1" applyBorder="1" applyAlignment="1" applyProtection="1">
      <alignment horizontal="center" vertical="center" wrapText="1"/>
      <protection hidden="1"/>
    </xf>
    <xf numFmtId="166" fontId="33" fillId="2" borderId="20" xfId="0" applyNumberFormat="1" applyFont="1" applyFill="1" applyBorder="1" applyAlignment="1" applyProtection="1">
      <alignment horizontal="center" vertical="center" wrapText="1"/>
      <protection hidden="1"/>
    </xf>
    <xf numFmtId="171" fontId="33" fillId="2" borderId="20" xfId="0" applyNumberFormat="1" applyFont="1" applyFill="1" applyBorder="1" applyAlignment="1" applyProtection="1">
      <alignment horizontal="center" vertical="center"/>
      <protection hidden="1"/>
    </xf>
    <xf numFmtId="164" fontId="33" fillId="2" borderId="20" xfId="0" applyNumberFormat="1" applyFont="1" applyFill="1" applyBorder="1" applyAlignment="1" applyProtection="1">
      <alignment horizontal="center" vertical="center"/>
      <protection hidden="1"/>
    </xf>
    <xf numFmtId="169" fontId="33" fillId="2" borderId="1" xfId="0" applyNumberFormat="1" applyFont="1" applyFill="1" applyBorder="1" applyAlignment="1" applyProtection="1">
      <alignment horizontal="center" vertical="center" wrapText="1"/>
      <protection hidden="1"/>
    </xf>
    <xf numFmtId="171" fontId="33" fillId="2" borderId="1" xfId="0" applyNumberFormat="1" applyFont="1" applyFill="1" applyBorder="1" applyAlignment="1" applyProtection="1">
      <alignment horizontal="center" vertical="center"/>
      <protection hidden="1"/>
    </xf>
    <xf numFmtId="2" fontId="33" fillId="2" borderId="20" xfId="0" applyNumberFormat="1" applyFont="1" applyFill="1" applyBorder="1" applyAlignment="1" applyProtection="1">
      <alignment horizontal="center" vertical="center"/>
      <protection hidden="1"/>
    </xf>
    <xf numFmtId="1" fontId="33" fillId="0" borderId="0" xfId="0" applyNumberFormat="1" applyFont="1" applyBorder="1" applyAlignment="1" applyProtection="1">
      <alignment horizontal="center" vertical="center" wrapText="1"/>
      <protection hidden="1"/>
    </xf>
    <xf numFmtId="2" fontId="17" fillId="0" borderId="14" xfId="0" applyNumberFormat="1" applyFont="1" applyBorder="1" applyAlignment="1" applyProtection="1">
      <alignment horizontal="center" vertical="center" wrapText="1"/>
      <protection hidden="1"/>
    </xf>
    <xf numFmtId="2" fontId="8" fillId="0" borderId="0" xfId="0" applyNumberFormat="1" applyFont="1" applyBorder="1" applyAlignment="1" applyProtection="1">
      <alignment vertical="center" wrapText="1"/>
      <protection hidden="1"/>
    </xf>
    <xf numFmtId="165" fontId="33" fillId="0" borderId="20" xfId="0" applyNumberFormat="1" applyFont="1" applyBorder="1" applyAlignment="1" applyProtection="1">
      <alignment horizontal="center" vertical="center" wrapText="1"/>
      <protection hidden="1"/>
    </xf>
    <xf numFmtId="164" fontId="33" fillId="0" borderId="20" xfId="0" applyNumberFormat="1" applyFont="1" applyBorder="1" applyAlignment="1" applyProtection="1">
      <alignment horizontal="center" vertical="center" wrapText="1"/>
      <protection hidden="1"/>
    </xf>
    <xf numFmtId="169" fontId="33" fillId="0" borderId="1" xfId="0" applyNumberFormat="1" applyFont="1" applyBorder="1" applyAlignment="1" applyProtection="1">
      <alignment horizontal="center" vertical="center" wrapText="1"/>
      <protection hidden="1"/>
    </xf>
    <xf numFmtId="169" fontId="33" fillId="0" borderId="20" xfId="0" applyNumberFormat="1" applyFont="1" applyBorder="1" applyAlignment="1" applyProtection="1">
      <alignment horizontal="center" vertical="center" wrapText="1"/>
      <protection hidden="1"/>
    </xf>
    <xf numFmtId="2" fontId="33" fillId="0" borderId="20" xfId="0" applyNumberFormat="1" applyFont="1" applyBorder="1" applyAlignment="1" applyProtection="1">
      <alignment horizontal="center" vertical="center" wrapText="1"/>
      <protection hidden="1"/>
    </xf>
    <xf numFmtId="169" fontId="37" fillId="0" borderId="0" xfId="0" applyNumberFormat="1" applyFont="1" applyBorder="1" applyAlignment="1" applyProtection="1">
      <alignment horizontal="center" vertical="center" wrapText="1"/>
      <protection hidden="1"/>
    </xf>
    <xf numFmtId="2" fontId="37" fillId="0" borderId="0" xfId="0" applyNumberFormat="1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right" vertical="center" wrapTex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2" fontId="30" fillId="0" borderId="0" xfId="0" applyNumberFormat="1" applyFont="1" applyBorder="1" applyAlignment="1" applyProtection="1">
      <alignment horizontal="left" vertical="center" wrapText="1"/>
      <protection hidden="1"/>
    </xf>
    <xf numFmtId="170" fontId="33" fillId="0" borderId="0" xfId="0" applyNumberFormat="1" applyFont="1" applyBorder="1" applyAlignment="1" applyProtection="1">
      <alignment horizontal="center" vertical="center" wrapText="1"/>
      <protection hidden="1"/>
    </xf>
    <xf numFmtId="2" fontId="8" fillId="0" borderId="0" xfId="0" applyNumberFormat="1" applyFont="1" applyAlignment="1" applyProtection="1">
      <alignment horizontal="center" vertical="justify" wrapText="1"/>
      <protection hidden="1"/>
    </xf>
    <xf numFmtId="0" fontId="33" fillId="0" borderId="36" xfId="0" applyFont="1" applyBorder="1" applyAlignment="1" applyProtection="1">
      <alignment horizontal="center" vertical="center" wrapText="1"/>
      <protection hidden="1"/>
    </xf>
    <xf numFmtId="0" fontId="51" fillId="0" borderId="34" xfId="0" applyFont="1" applyBorder="1" applyAlignment="1" applyProtection="1">
      <alignment horizontal="center" vertical="center" wrapText="1"/>
      <protection hidden="1"/>
    </xf>
    <xf numFmtId="0" fontId="51" fillId="0" borderId="36" xfId="0" applyFont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vertical="justify" wrapText="1"/>
      <protection hidden="1"/>
    </xf>
    <xf numFmtId="0" fontId="52" fillId="0" borderId="37" xfId="0" applyFont="1" applyBorder="1" applyAlignment="1" applyProtection="1">
      <alignment horizontal="left" vertical="center" wrapText="1"/>
      <protection hidden="1"/>
    </xf>
    <xf numFmtId="0" fontId="33" fillId="0" borderId="37" xfId="0" applyFont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vertical="center" wrapText="1"/>
      <protection hidden="1"/>
    </xf>
    <xf numFmtId="168" fontId="33" fillId="0" borderId="0" xfId="0" applyNumberFormat="1" applyFont="1" applyAlignment="1" applyProtection="1">
      <alignment horizontal="center" vertical="center" wrapText="1"/>
      <protection hidden="1"/>
    </xf>
    <xf numFmtId="2" fontId="33" fillId="15" borderId="0" xfId="3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Protection="1">
      <protection hidden="1"/>
    </xf>
    <xf numFmtId="0" fontId="50" fillId="0" borderId="0" xfId="0" applyFont="1" applyBorder="1" applyAlignment="1" applyProtection="1">
      <alignment horizontal="center" vertical="center" wrapText="1"/>
      <protection hidden="1"/>
    </xf>
    <xf numFmtId="2" fontId="7" fillId="9" borderId="36" xfId="0" applyNumberFormat="1" applyFont="1" applyFill="1" applyBorder="1" applyAlignment="1" applyProtection="1">
      <alignment horizontal="center" vertical="center"/>
      <protection hidden="1"/>
    </xf>
    <xf numFmtId="2" fontId="7" fillId="6" borderId="4" xfId="0" applyNumberFormat="1" applyFont="1" applyFill="1" applyBorder="1" applyAlignment="1" applyProtection="1">
      <alignment horizontal="center" vertical="center"/>
      <protection hidden="1"/>
    </xf>
    <xf numFmtId="2" fontId="7" fillId="6" borderId="40" xfId="0" applyNumberFormat="1" applyFont="1" applyFill="1" applyBorder="1" applyAlignment="1" applyProtection="1">
      <alignment horizontal="center" vertical="center"/>
      <protection hidden="1"/>
    </xf>
    <xf numFmtId="2" fontId="7" fillId="6" borderId="59" xfId="0" applyNumberFormat="1" applyFont="1" applyFill="1" applyBorder="1" applyAlignment="1" applyProtection="1">
      <alignment horizontal="center" vertical="center"/>
      <protection hidden="1"/>
    </xf>
    <xf numFmtId="2" fontId="7" fillId="6" borderId="60" xfId="0" applyNumberFormat="1" applyFont="1" applyFill="1" applyBorder="1" applyAlignment="1" applyProtection="1">
      <alignment horizontal="center" vertical="center"/>
      <protection hidden="1"/>
    </xf>
    <xf numFmtId="1" fontId="7" fillId="9" borderId="4" xfId="0" applyNumberFormat="1" applyFont="1" applyFill="1" applyBorder="1" applyAlignment="1" applyProtection="1">
      <alignment horizontal="center" vertical="center"/>
      <protection hidden="1"/>
    </xf>
    <xf numFmtId="1" fontId="7" fillId="9" borderId="40" xfId="0" applyNumberFormat="1" applyFont="1" applyFill="1" applyBorder="1" applyAlignment="1" applyProtection="1">
      <alignment horizontal="center" vertical="center"/>
      <protection hidden="1"/>
    </xf>
    <xf numFmtId="1" fontId="7" fillId="9" borderId="42" xfId="0" applyNumberFormat="1" applyFont="1" applyFill="1" applyBorder="1" applyAlignment="1" applyProtection="1">
      <alignment horizontal="center" vertical="center"/>
      <protection hidden="1"/>
    </xf>
    <xf numFmtId="1" fontId="7" fillId="9" borderId="43" xfId="0" applyNumberFormat="1" applyFont="1" applyFill="1" applyBorder="1" applyAlignment="1" applyProtection="1">
      <alignment horizontal="center" vertical="center"/>
      <protection hidden="1"/>
    </xf>
    <xf numFmtId="1" fontId="7" fillId="9" borderId="7" xfId="0" applyNumberFormat="1" applyFont="1" applyFill="1" applyBorder="1" applyAlignment="1" applyProtection="1">
      <alignment horizontal="center" vertical="center"/>
      <protection hidden="1"/>
    </xf>
    <xf numFmtId="1" fontId="7" fillId="9" borderId="12" xfId="0" applyNumberFormat="1" applyFont="1" applyFill="1" applyBorder="1" applyAlignment="1" applyProtection="1">
      <alignment horizontal="center" vertical="center"/>
      <protection hidden="1"/>
    </xf>
    <xf numFmtId="2" fontId="9" fillId="6" borderId="14" xfId="0" applyNumberFormat="1" applyFont="1" applyFill="1" applyBorder="1" applyProtection="1">
      <protection hidden="1"/>
    </xf>
    <xf numFmtId="2" fontId="9" fillId="6" borderId="15" xfId="0" applyNumberFormat="1" applyFont="1" applyFill="1" applyBorder="1" applyAlignment="1" applyProtection="1">
      <alignment horizontal="center" vertical="center"/>
      <protection hidden="1"/>
    </xf>
    <xf numFmtId="2" fontId="7" fillId="6" borderId="16" xfId="0" applyNumberFormat="1" applyFont="1" applyFill="1" applyBorder="1" applyAlignment="1" applyProtection="1">
      <alignment horizontal="center" vertical="center"/>
      <protection hidden="1"/>
    </xf>
    <xf numFmtId="2" fontId="13" fillId="6" borderId="14" xfId="0" applyNumberFormat="1" applyFont="1" applyFill="1" applyBorder="1" applyAlignment="1" applyProtection="1">
      <alignment vertical="center" wrapText="1"/>
      <protection hidden="1"/>
    </xf>
    <xf numFmtId="2" fontId="7" fillId="6" borderId="15" xfId="0" applyNumberFormat="1" applyFont="1" applyFill="1" applyBorder="1" applyProtection="1">
      <protection hidden="1"/>
    </xf>
    <xf numFmtId="2" fontId="7" fillId="6" borderId="15" xfId="0" applyNumberFormat="1" applyFont="1" applyFill="1" applyBorder="1" applyAlignment="1" applyProtection="1">
      <alignment horizontal="center" vertical="center"/>
      <protection hidden="1"/>
    </xf>
    <xf numFmtId="2" fontId="13" fillId="6" borderId="15" xfId="0" applyNumberFormat="1" applyFont="1" applyFill="1" applyBorder="1" applyAlignment="1" applyProtection="1">
      <alignment horizontal="left" vertical="center" wrapText="1"/>
      <protection hidden="1"/>
    </xf>
    <xf numFmtId="165" fontId="13" fillId="9" borderId="7" xfId="0" applyNumberFormat="1" applyFont="1" applyFill="1" applyBorder="1" applyAlignment="1" applyProtection="1">
      <alignment horizontal="center" vertical="center"/>
      <protection hidden="1"/>
    </xf>
    <xf numFmtId="165" fontId="13" fillId="9" borderId="8" xfId="0" applyNumberFormat="1" applyFont="1" applyFill="1" applyBorder="1" applyAlignment="1" applyProtection="1">
      <alignment horizontal="center" vertical="center"/>
      <protection hidden="1"/>
    </xf>
    <xf numFmtId="165" fontId="13" fillId="9" borderId="12" xfId="0" applyNumberFormat="1" applyFont="1" applyFill="1" applyBorder="1" applyAlignment="1" applyProtection="1">
      <alignment horizontal="center" vertical="center"/>
      <protection hidden="1"/>
    </xf>
    <xf numFmtId="1" fontId="7" fillId="9" borderId="44" xfId="0" applyNumberFormat="1" applyFont="1" applyFill="1" applyBorder="1" applyAlignment="1" applyProtection="1">
      <alignment horizontal="center" vertical="center"/>
      <protection hidden="1"/>
    </xf>
    <xf numFmtId="1" fontId="7" fillId="9" borderId="45" xfId="0" applyNumberFormat="1" applyFont="1" applyFill="1" applyBorder="1" applyAlignment="1" applyProtection="1">
      <alignment horizontal="center" vertical="center"/>
      <protection hidden="1"/>
    </xf>
    <xf numFmtId="167" fontId="9" fillId="9" borderId="4" xfId="0" applyNumberFormat="1" applyFont="1" applyFill="1" applyBorder="1" applyAlignment="1" applyProtection="1">
      <alignment horizontal="center" vertical="center"/>
      <protection hidden="1"/>
    </xf>
    <xf numFmtId="167" fontId="9" fillId="9" borderId="5" xfId="0" applyNumberFormat="1" applyFont="1" applyFill="1" applyBorder="1" applyAlignment="1" applyProtection="1">
      <alignment horizontal="center" vertical="center"/>
      <protection hidden="1"/>
    </xf>
    <xf numFmtId="2" fontId="7" fillId="9" borderId="5" xfId="0" applyNumberFormat="1" applyFont="1" applyFill="1" applyBorder="1" applyAlignment="1" applyProtection="1">
      <alignment horizontal="center" vertical="center"/>
      <protection hidden="1"/>
    </xf>
    <xf numFmtId="1" fontId="9" fillId="9" borderId="40" xfId="0" applyNumberFormat="1" applyFont="1" applyFill="1" applyBorder="1" applyAlignment="1" applyProtection="1">
      <alignment horizontal="center"/>
      <protection hidden="1"/>
    </xf>
    <xf numFmtId="167" fontId="9" fillId="9" borderId="42" xfId="0" applyNumberFormat="1" applyFont="1" applyFill="1" applyBorder="1" applyAlignment="1" applyProtection="1">
      <alignment horizontal="center" vertical="center"/>
      <protection hidden="1"/>
    </xf>
    <xf numFmtId="1" fontId="9" fillId="9" borderId="45" xfId="0" applyNumberFormat="1" applyFont="1" applyFill="1" applyBorder="1" applyAlignment="1" applyProtection="1">
      <alignment horizontal="center"/>
      <protection hidden="1"/>
    </xf>
    <xf numFmtId="167" fontId="9" fillId="9" borderId="7" xfId="0" applyNumberFormat="1" applyFont="1" applyFill="1" applyBorder="1" applyAlignment="1" applyProtection="1">
      <alignment horizontal="center" vertical="center"/>
      <protection hidden="1"/>
    </xf>
    <xf numFmtId="167" fontId="9" fillId="9" borderId="8" xfId="0" applyNumberFormat="1" applyFont="1" applyFill="1" applyBorder="1" applyAlignment="1" applyProtection="1">
      <alignment horizontal="center" vertical="center"/>
      <protection hidden="1"/>
    </xf>
    <xf numFmtId="2" fontId="7" fillId="9" borderId="8" xfId="0" applyNumberFormat="1" applyFont="1" applyFill="1" applyBorder="1" applyAlignment="1" applyProtection="1">
      <alignment horizontal="center" vertical="center"/>
      <protection hidden="1"/>
    </xf>
    <xf numFmtId="1" fontId="9" fillId="9" borderId="12" xfId="0" applyNumberFormat="1" applyFont="1" applyFill="1" applyBorder="1" applyAlignment="1" applyProtection="1">
      <alignment horizontal="center"/>
      <protection hidden="1"/>
    </xf>
    <xf numFmtId="167" fontId="8" fillId="9" borderId="9" xfId="0" applyNumberFormat="1" applyFont="1" applyFill="1" applyBorder="1" applyAlignment="1" applyProtection="1">
      <alignment horizontal="center" vertical="center"/>
      <protection hidden="1"/>
    </xf>
    <xf numFmtId="167" fontId="8" fillId="9" borderId="10" xfId="0" applyNumberFormat="1" applyFont="1" applyFill="1" applyBorder="1" applyAlignment="1" applyProtection="1">
      <alignment horizontal="center" vertical="center"/>
      <protection hidden="1"/>
    </xf>
    <xf numFmtId="2" fontId="7" fillId="9" borderId="11" xfId="0" applyNumberFormat="1" applyFont="1" applyFill="1" applyBorder="1" applyAlignment="1" applyProtection="1">
      <alignment horizontal="center" vertical="center"/>
      <protection hidden="1"/>
    </xf>
    <xf numFmtId="169" fontId="9" fillId="9" borderId="4" xfId="0" applyNumberFormat="1" applyFont="1" applyFill="1" applyBorder="1" applyAlignment="1" applyProtection="1">
      <alignment horizontal="center" vertical="center"/>
      <protection hidden="1"/>
    </xf>
    <xf numFmtId="169" fontId="9" fillId="9" borderId="5" xfId="0" applyNumberFormat="1" applyFont="1" applyFill="1" applyBorder="1" applyAlignment="1" applyProtection="1">
      <alignment horizontal="center" vertical="center"/>
      <protection hidden="1"/>
    </xf>
    <xf numFmtId="2" fontId="9" fillId="9" borderId="5" xfId="0" applyNumberFormat="1" applyFont="1" applyFill="1" applyBorder="1" applyAlignment="1" applyProtection="1">
      <alignment horizontal="center"/>
      <protection hidden="1"/>
    </xf>
    <xf numFmtId="169" fontId="9" fillId="9" borderId="42" xfId="0" applyNumberFormat="1" applyFont="1" applyFill="1" applyBorder="1" applyAlignment="1" applyProtection="1">
      <alignment horizontal="center" vertical="center"/>
      <protection hidden="1"/>
    </xf>
    <xf numFmtId="1" fontId="9" fillId="9" borderId="43" xfId="0" applyNumberFormat="1" applyFont="1" applyFill="1" applyBorder="1" applyAlignment="1" applyProtection="1">
      <alignment horizontal="center"/>
      <protection hidden="1"/>
    </xf>
    <xf numFmtId="169" fontId="9" fillId="9" borderId="7" xfId="0" applyNumberFormat="1" applyFont="1" applyFill="1" applyBorder="1" applyAlignment="1" applyProtection="1">
      <alignment horizontal="center" vertical="center"/>
      <protection hidden="1"/>
    </xf>
    <xf numFmtId="169" fontId="9" fillId="9" borderId="8" xfId="0" applyNumberFormat="1" applyFont="1" applyFill="1" applyBorder="1" applyAlignment="1" applyProtection="1">
      <alignment horizontal="center" vertical="center"/>
      <protection hidden="1"/>
    </xf>
    <xf numFmtId="2" fontId="9" fillId="9" borderId="8" xfId="0" applyNumberFormat="1" applyFont="1" applyFill="1" applyBorder="1" applyAlignment="1" applyProtection="1">
      <alignment horizontal="center"/>
      <protection hidden="1"/>
    </xf>
    <xf numFmtId="166" fontId="8" fillId="9" borderId="9" xfId="0" applyNumberFormat="1" applyFont="1" applyFill="1" applyBorder="1" applyAlignment="1" applyProtection="1">
      <alignment horizontal="center" vertical="center"/>
      <protection hidden="1"/>
    </xf>
    <xf numFmtId="166" fontId="8" fillId="9" borderId="10" xfId="0" applyNumberFormat="1" applyFont="1" applyFill="1" applyBorder="1" applyAlignment="1" applyProtection="1">
      <alignment horizontal="center" vertical="center"/>
      <protection hidden="1"/>
    </xf>
    <xf numFmtId="2" fontId="9" fillId="9" borderId="11" xfId="0" applyNumberFormat="1" applyFont="1" applyFill="1" applyBorder="1" applyAlignment="1" applyProtection="1">
      <alignment horizontal="center"/>
      <protection hidden="1"/>
    </xf>
    <xf numFmtId="2" fontId="9" fillId="6" borderId="9" xfId="0" applyNumberFormat="1" applyFont="1" applyFill="1" applyBorder="1" applyAlignment="1" applyProtection="1">
      <alignment horizontal="center" vertical="center"/>
      <protection hidden="1"/>
    </xf>
    <xf numFmtId="2" fontId="9" fillId="6" borderId="10" xfId="0" applyNumberFormat="1" applyFont="1" applyFill="1" applyBorder="1" applyAlignment="1" applyProtection="1">
      <alignment horizontal="center" vertical="center"/>
      <protection hidden="1"/>
    </xf>
    <xf numFmtId="2" fontId="9" fillId="6" borderId="11" xfId="0" applyNumberFormat="1" applyFont="1" applyFill="1" applyBorder="1" applyAlignment="1" applyProtection="1">
      <alignment horizontal="center" vertical="center"/>
      <protection hidden="1"/>
    </xf>
    <xf numFmtId="171" fontId="7" fillId="7" borderId="42" xfId="0" applyNumberFormat="1" applyFont="1" applyFill="1" applyBorder="1" applyAlignment="1" applyProtection="1">
      <alignment horizontal="center" vertical="center"/>
      <protection locked="0" hidden="1"/>
    </xf>
    <xf numFmtId="164" fontId="7" fillId="17" borderId="43" xfId="0" applyNumberFormat="1" applyFont="1" applyFill="1" applyBorder="1" applyAlignment="1" applyProtection="1">
      <alignment horizontal="center" vertical="center"/>
      <protection hidden="1"/>
    </xf>
    <xf numFmtId="2" fontId="7" fillId="17" borderId="43" xfId="0" applyNumberFormat="1" applyFont="1" applyFill="1" applyBorder="1" applyAlignment="1" applyProtection="1">
      <alignment horizontal="center" vertical="center"/>
      <protection hidden="1"/>
    </xf>
    <xf numFmtId="171" fontId="7" fillId="7" borderId="7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8" xfId="0" applyNumberFormat="1" applyFont="1" applyFill="1" applyBorder="1" applyAlignment="1" applyProtection="1">
      <alignment horizontal="center" vertical="center"/>
      <protection locked="0" hidden="1"/>
    </xf>
    <xf numFmtId="165" fontId="7" fillId="9" borderId="8" xfId="0" applyNumberFormat="1" applyFont="1" applyFill="1" applyBorder="1" applyAlignment="1" applyProtection="1">
      <alignment horizontal="center" vertical="center"/>
      <protection hidden="1"/>
    </xf>
    <xf numFmtId="166" fontId="7" fillId="9" borderId="8" xfId="0" applyNumberFormat="1" applyFont="1" applyFill="1" applyBorder="1" applyAlignment="1" applyProtection="1">
      <alignment horizontal="center" vertical="center"/>
      <protection hidden="1"/>
    </xf>
    <xf numFmtId="2" fontId="7" fillId="17" borderId="12" xfId="0" applyNumberFormat="1" applyFont="1" applyFill="1" applyBorder="1" applyAlignment="1" applyProtection="1">
      <alignment horizontal="center" vertical="center"/>
      <protection hidden="1"/>
    </xf>
    <xf numFmtId="2" fontId="7" fillId="0" borderId="25" xfId="0" applyNumberFormat="1" applyFont="1" applyBorder="1" applyProtection="1">
      <protection hidden="1"/>
    </xf>
    <xf numFmtId="164" fontId="7" fillId="9" borderId="43" xfId="0" applyNumberFormat="1" applyFont="1" applyFill="1" applyBorder="1" applyAlignment="1" applyProtection="1">
      <alignment horizontal="center" vertical="center"/>
      <protection hidden="1"/>
    </xf>
    <xf numFmtId="164" fontId="7" fillId="9" borderId="12" xfId="0" applyNumberFormat="1" applyFont="1" applyFill="1" applyBorder="1" applyAlignment="1" applyProtection="1">
      <alignment horizontal="center" vertical="center"/>
      <protection hidden="1"/>
    </xf>
    <xf numFmtId="1" fontId="7" fillId="6" borderId="4" xfId="0" applyNumberFormat="1" applyFont="1" applyFill="1" applyBorder="1" applyAlignment="1" applyProtection="1">
      <alignment horizontal="center" vertical="center"/>
      <protection hidden="1"/>
    </xf>
    <xf numFmtId="1" fontId="7" fillId="6" borderId="5" xfId="0" applyNumberFormat="1" applyFont="1" applyFill="1" applyBorder="1" applyAlignment="1" applyProtection="1">
      <alignment horizontal="center" vertical="center"/>
      <protection hidden="1"/>
    </xf>
    <xf numFmtId="1" fontId="7" fillId="6" borderId="40" xfId="0" applyNumberFormat="1" applyFont="1" applyFill="1" applyBorder="1" applyAlignment="1" applyProtection="1">
      <alignment horizontal="center" vertical="center"/>
      <protection hidden="1"/>
    </xf>
    <xf numFmtId="171" fontId="7" fillId="7" borderId="42" xfId="0" applyNumberFormat="1" applyFont="1" applyFill="1" applyBorder="1" applyAlignment="1" applyProtection="1">
      <alignment horizontal="center" vertical="center"/>
      <protection hidden="1"/>
    </xf>
    <xf numFmtId="171" fontId="7" fillId="7" borderId="43" xfId="0" applyNumberFormat="1" applyFont="1" applyFill="1" applyBorder="1" applyAlignment="1" applyProtection="1">
      <alignment horizontal="center" vertical="center"/>
      <protection hidden="1"/>
    </xf>
    <xf numFmtId="171" fontId="7" fillId="7" borderId="7" xfId="0" applyNumberFormat="1" applyFont="1" applyFill="1" applyBorder="1" applyAlignment="1" applyProtection="1">
      <alignment horizontal="center" vertical="center"/>
      <protection hidden="1"/>
    </xf>
    <xf numFmtId="171" fontId="7" fillId="7" borderId="8" xfId="0" applyNumberFormat="1" applyFont="1" applyFill="1" applyBorder="1" applyAlignment="1" applyProtection="1">
      <alignment horizontal="center" vertical="center"/>
      <protection hidden="1"/>
    </xf>
    <xf numFmtId="171" fontId="7" fillId="7" borderId="12" xfId="0" applyNumberFormat="1" applyFont="1" applyFill="1" applyBorder="1" applyAlignment="1" applyProtection="1">
      <alignment horizontal="center" vertical="center"/>
      <protection hidden="1"/>
    </xf>
    <xf numFmtId="2" fontId="7" fillId="6" borderId="5" xfId="0" applyNumberFormat="1" applyFont="1" applyFill="1" applyBorder="1" applyAlignment="1" applyProtection="1">
      <alignment horizontal="center" vertical="center"/>
      <protection hidden="1"/>
    </xf>
    <xf numFmtId="171" fontId="7" fillId="6" borderId="7" xfId="0" applyNumberFormat="1" applyFont="1" applyFill="1" applyBorder="1" applyAlignment="1" applyProtection="1">
      <alignment horizontal="center" vertical="center"/>
      <protection hidden="1"/>
    </xf>
    <xf numFmtId="171" fontId="7" fillId="9" borderId="8" xfId="0" applyNumberFormat="1" applyFont="1" applyFill="1" applyBorder="1" applyAlignment="1" applyProtection="1">
      <alignment horizontal="center" vertical="center"/>
      <protection hidden="1"/>
    </xf>
    <xf numFmtId="171" fontId="7" fillId="9" borderId="12" xfId="0" applyNumberFormat="1" applyFont="1" applyFill="1" applyBorder="1" applyAlignment="1" applyProtection="1">
      <alignment horizontal="center" vertical="center"/>
      <protection hidden="1"/>
    </xf>
    <xf numFmtId="171" fontId="7" fillId="6" borderId="4" xfId="0" applyNumberFormat="1" applyFont="1" applyFill="1" applyBorder="1" applyAlignment="1" applyProtection="1">
      <alignment horizontal="center" vertical="center"/>
      <protection hidden="1"/>
    </xf>
    <xf numFmtId="171" fontId="7" fillId="9" borderId="5" xfId="0" applyNumberFormat="1" applyFont="1" applyFill="1" applyBorder="1" applyAlignment="1" applyProtection="1">
      <alignment horizontal="center" vertical="center"/>
      <protection hidden="1"/>
    </xf>
    <xf numFmtId="171" fontId="7" fillId="9" borderId="40" xfId="0" applyNumberFormat="1" applyFont="1" applyFill="1" applyBorder="1" applyAlignment="1" applyProtection="1">
      <alignment horizontal="center" vertical="center"/>
      <protection hidden="1"/>
    </xf>
    <xf numFmtId="171" fontId="7" fillId="7" borderId="3" xfId="0" applyNumberFormat="1" applyFont="1" applyFill="1" applyBorder="1" applyAlignment="1" applyProtection="1">
      <alignment horizontal="center" vertical="center"/>
      <protection locked="0" hidden="1"/>
    </xf>
    <xf numFmtId="2" fontId="13" fillId="6" borderId="71" xfId="0" applyNumberFormat="1" applyFont="1" applyFill="1" applyBorder="1" applyAlignment="1" applyProtection="1">
      <alignment horizontal="center" vertical="center"/>
      <protection hidden="1"/>
    </xf>
    <xf numFmtId="2" fontId="13" fillId="6" borderId="72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73" xfId="0" applyNumberFormat="1" applyFont="1" applyFill="1" applyBorder="1" applyAlignment="1" applyProtection="1">
      <alignment horizontal="center" wrapText="1"/>
      <protection hidden="1"/>
    </xf>
    <xf numFmtId="2" fontId="13" fillId="6" borderId="27" xfId="0" applyNumberFormat="1" applyFont="1" applyFill="1" applyBorder="1" applyAlignment="1" applyProtection="1">
      <alignment horizontal="center" vertical="center"/>
      <protection hidden="1"/>
    </xf>
    <xf numFmtId="1" fontId="13" fillId="6" borderId="27" xfId="0" applyNumberFormat="1" applyFont="1" applyFill="1" applyBorder="1" applyAlignment="1" applyProtection="1">
      <alignment horizontal="center" vertical="center"/>
      <protection hidden="1"/>
    </xf>
    <xf numFmtId="1" fontId="13" fillId="6" borderId="4" xfId="0" applyNumberFormat="1" applyFont="1" applyFill="1" applyBorder="1" applyAlignment="1" applyProtection="1">
      <alignment horizontal="center" vertical="center" wrapText="1"/>
      <protection hidden="1"/>
    </xf>
    <xf numFmtId="1" fontId="13" fillId="6" borderId="5" xfId="0" applyNumberFormat="1" applyFont="1" applyFill="1" applyBorder="1" applyAlignment="1" applyProtection="1">
      <alignment horizontal="center" vertical="center" wrapText="1"/>
      <protection hidden="1"/>
    </xf>
    <xf numFmtId="1" fontId="13" fillId="6" borderId="40" xfId="0" applyNumberFormat="1" applyFont="1" applyFill="1" applyBorder="1" applyAlignment="1" applyProtection="1">
      <alignment horizontal="center" vertical="center" wrapText="1"/>
      <protection hidden="1"/>
    </xf>
    <xf numFmtId="171" fontId="7" fillId="7" borderId="43" xfId="0" applyNumberFormat="1" applyFont="1" applyFill="1" applyBorder="1" applyAlignment="1" applyProtection="1">
      <alignment horizontal="center" vertical="center"/>
      <protection locked="0" hidden="1"/>
    </xf>
    <xf numFmtId="171" fontId="13" fillId="9" borderId="42" xfId="0" applyNumberFormat="1" applyFont="1" applyFill="1" applyBorder="1" applyAlignment="1" applyProtection="1">
      <alignment horizontal="center" vertical="center"/>
      <protection hidden="1"/>
    </xf>
    <xf numFmtId="171" fontId="13" fillId="9" borderId="43" xfId="0" applyNumberFormat="1" applyFont="1" applyFill="1" applyBorder="1" applyAlignment="1" applyProtection="1">
      <alignment horizontal="center" vertical="center"/>
      <protection hidden="1"/>
    </xf>
    <xf numFmtId="171" fontId="13" fillId="9" borderId="7" xfId="0" applyNumberFormat="1" applyFont="1" applyFill="1" applyBorder="1" applyAlignment="1" applyProtection="1">
      <alignment horizontal="center" vertical="center"/>
      <protection hidden="1"/>
    </xf>
    <xf numFmtId="171" fontId="13" fillId="9" borderId="8" xfId="0" applyNumberFormat="1" applyFont="1" applyFill="1" applyBorder="1" applyAlignment="1" applyProtection="1">
      <alignment horizontal="center" vertical="center"/>
      <protection hidden="1"/>
    </xf>
    <xf numFmtId="171" fontId="13" fillId="9" borderId="12" xfId="0" applyNumberFormat="1" applyFont="1" applyFill="1" applyBorder="1" applyAlignment="1" applyProtection="1">
      <alignment horizontal="center" vertical="center"/>
      <protection hidden="1"/>
    </xf>
    <xf numFmtId="2" fontId="13" fillId="9" borderId="36" xfId="0" applyNumberFormat="1" applyFont="1" applyFill="1" applyBorder="1" applyAlignment="1" applyProtection="1">
      <alignment horizontal="center" vertical="center"/>
      <protection hidden="1"/>
    </xf>
    <xf numFmtId="0" fontId="4" fillId="18" borderId="4" xfId="0" applyFont="1" applyFill="1" applyBorder="1" applyAlignment="1" applyProtection="1">
      <alignment horizontal="left" vertical="center" wrapText="1"/>
      <protection hidden="1"/>
    </xf>
    <xf numFmtId="0" fontId="7" fillId="9" borderId="5" xfId="0" applyFont="1" applyFill="1" applyBorder="1" applyAlignment="1" applyProtection="1">
      <alignment horizontal="center" vertical="center"/>
      <protection hidden="1"/>
    </xf>
    <xf numFmtId="0" fontId="4" fillId="18" borderId="5" xfId="0" applyFont="1" applyFill="1" applyBorder="1" applyAlignment="1" applyProtection="1">
      <alignment horizontal="left" vertical="center" wrapText="1"/>
      <protection hidden="1"/>
    </xf>
    <xf numFmtId="1" fontId="7" fillId="9" borderId="5" xfId="0" applyNumberFormat="1" applyFont="1" applyFill="1" applyBorder="1" applyAlignment="1" applyProtection="1">
      <alignment horizontal="center" vertical="center"/>
      <protection hidden="1"/>
    </xf>
    <xf numFmtId="0" fontId="39" fillId="18" borderId="5" xfId="0" applyFont="1" applyFill="1" applyBorder="1" applyAlignment="1" applyProtection="1">
      <alignment horizontal="left" vertical="center" wrapText="1"/>
      <protection hidden="1"/>
    </xf>
    <xf numFmtId="1" fontId="7" fillId="9" borderId="40" xfId="0" applyNumberFormat="1" applyFont="1" applyFill="1" applyBorder="1" applyAlignment="1" applyProtection="1">
      <alignment horizontal="center" vertical="center" wrapText="1"/>
      <protection hidden="1"/>
    </xf>
    <xf numFmtId="0" fontId="39" fillId="18" borderId="8" xfId="0" applyFont="1" applyFill="1" applyBorder="1" applyAlignment="1" applyProtection="1">
      <alignment horizontal="center" vertical="center" wrapText="1"/>
      <protection hidden="1"/>
    </xf>
    <xf numFmtId="0" fontId="7" fillId="9" borderId="8" xfId="0" applyFont="1" applyFill="1" applyBorder="1" applyAlignment="1" applyProtection="1">
      <alignment horizontal="center" vertical="center"/>
      <protection hidden="1"/>
    </xf>
    <xf numFmtId="0" fontId="4" fillId="18" borderId="8" xfId="0" applyFont="1" applyFill="1" applyBorder="1" applyAlignment="1" applyProtection="1">
      <alignment horizontal="left" vertical="center" wrapText="1"/>
      <protection hidden="1"/>
    </xf>
    <xf numFmtId="0" fontId="7" fillId="9" borderId="12" xfId="0" applyFont="1" applyFill="1" applyBorder="1" applyAlignment="1" applyProtection="1">
      <alignment horizontal="center" vertical="center"/>
      <protection hidden="1"/>
    </xf>
    <xf numFmtId="2" fontId="8" fillId="6" borderId="32" xfId="2" applyNumberFormat="1" applyFont="1" applyFill="1" applyBorder="1" applyAlignment="1" applyProtection="1">
      <protection hidden="1"/>
    </xf>
    <xf numFmtId="1" fontId="13" fillId="14" borderId="34" xfId="3" applyNumberFormat="1" applyFont="1" applyBorder="1" applyAlignment="1" applyProtection="1">
      <alignment horizontal="center" vertical="center"/>
      <protection locked="0" hidden="1"/>
    </xf>
    <xf numFmtId="0" fontId="7" fillId="9" borderId="20" xfId="0" applyFont="1" applyFill="1" applyBorder="1" applyAlignment="1" applyProtection="1">
      <alignment horizontal="center" vertical="center"/>
      <protection hidden="1"/>
    </xf>
    <xf numFmtId="1" fontId="8" fillId="14" borderId="14" xfId="3" applyNumberFormat="1" applyFont="1" applyBorder="1" applyAlignment="1" applyProtection="1">
      <alignment horizontal="center" vertical="center"/>
      <protection locked="0" hidden="1"/>
    </xf>
    <xf numFmtId="1" fontId="9" fillId="14" borderId="16" xfId="3" applyNumberFormat="1" applyFont="1" applyBorder="1" applyAlignment="1" applyProtection="1">
      <alignment horizontal="center" vertical="center"/>
      <protection locked="0" hidden="1"/>
    </xf>
    <xf numFmtId="2" fontId="7" fillId="0" borderId="41" xfId="0" applyNumberFormat="1" applyFont="1" applyBorder="1" applyAlignment="1" applyProtection="1">
      <alignment vertical="center"/>
      <protection hidden="1"/>
    </xf>
    <xf numFmtId="0" fontId="7" fillId="9" borderId="44" xfId="0" applyFont="1" applyFill="1" applyBorder="1" applyAlignment="1" applyProtection="1">
      <alignment horizontal="center" vertical="center"/>
      <protection hidden="1"/>
    </xf>
    <xf numFmtId="0" fontId="7" fillId="9" borderId="45" xfId="0" applyFont="1" applyFill="1" applyBorder="1" applyAlignment="1" applyProtection="1">
      <alignment horizontal="center" vertical="center"/>
      <protection hidden="1"/>
    </xf>
    <xf numFmtId="0" fontId="7" fillId="9" borderId="42" xfId="0" applyFont="1" applyFill="1" applyBorder="1" applyAlignment="1" applyProtection="1">
      <alignment horizontal="center" vertical="center"/>
      <protection hidden="1"/>
    </xf>
    <xf numFmtId="0" fontId="7" fillId="9" borderId="43" xfId="0" applyFont="1" applyFill="1" applyBorder="1" applyAlignment="1" applyProtection="1">
      <alignment horizontal="center" vertical="center"/>
      <protection hidden="1"/>
    </xf>
    <xf numFmtId="0" fontId="7" fillId="9" borderId="7" xfId="0" applyFont="1" applyFill="1" applyBorder="1" applyAlignment="1" applyProtection="1">
      <alignment horizontal="center" vertical="center"/>
      <protection hidden="1"/>
    </xf>
    <xf numFmtId="2" fontId="7" fillId="9" borderId="58" xfId="0" applyNumberFormat="1" applyFont="1" applyFill="1" applyBorder="1" applyAlignment="1" applyProtection="1">
      <alignment horizontal="centerContinuous" vertical="center" wrapText="1"/>
      <protection hidden="1"/>
    </xf>
    <xf numFmtId="2" fontId="7" fillId="9" borderId="67" xfId="0" applyNumberFormat="1" applyFont="1" applyFill="1" applyBorder="1" applyAlignment="1" applyProtection="1">
      <alignment horizontal="centerContinuous" vertical="center" wrapText="1"/>
      <protection hidden="1"/>
    </xf>
    <xf numFmtId="2" fontId="7" fillId="9" borderId="70" xfId="0" applyNumberFormat="1" applyFont="1" applyFill="1" applyBorder="1" applyAlignment="1" applyProtection="1">
      <alignment horizontal="centerContinuous" vertical="center" wrapText="1"/>
      <protection hidden="1"/>
    </xf>
    <xf numFmtId="1" fontId="7" fillId="9" borderId="56" xfId="0" applyNumberFormat="1" applyFont="1" applyFill="1" applyBorder="1" applyAlignment="1" applyProtection="1">
      <alignment horizontal="centerContinuous" vertical="center" wrapText="1"/>
      <protection hidden="1"/>
    </xf>
    <xf numFmtId="2" fontId="7" fillId="9" borderId="6" xfId="0" applyNumberFormat="1" applyFont="1" applyFill="1" applyBorder="1" applyAlignment="1" applyProtection="1">
      <alignment horizontal="centerContinuous" vertical="center" wrapText="1"/>
      <protection hidden="1"/>
    </xf>
    <xf numFmtId="1" fontId="7" fillId="14" borderId="57" xfId="3" applyNumberFormat="1" applyFont="1" applyBorder="1" applyAlignment="1" applyProtection="1">
      <alignment horizontal="center" vertical="center"/>
      <protection locked="0" hidden="1"/>
    </xf>
    <xf numFmtId="2" fontId="5" fillId="6" borderId="5" xfId="0" applyNumberFormat="1" applyFont="1" applyFill="1" applyBorder="1" applyAlignment="1" applyProtection="1">
      <alignment horizontal="center" vertical="center" wrapText="1"/>
      <protection hidden="1"/>
    </xf>
    <xf numFmtId="171" fontId="7" fillId="7" borderId="44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20" xfId="0" applyNumberFormat="1" applyFont="1" applyFill="1" applyBorder="1" applyAlignment="1" applyProtection="1">
      <alignment horizontal="center" vertical="center"/>
      <protection locked="0" hidden="1"/>
    </xf>
    <xf numFmtId="166" fontId="7" fillId="9" borderId="20" xfId="0" applyNumberFormat="1" applyFont="1" applyFill="1" applyBorder="1" applyAlignment="1" applyProtection="1">
      <alignment horizontal="center" vertical="center"/>
      <protection hidden="1"/>
    </xf>
    <xf numFmtId="164" fontId="7" fillId="17" borderId="45" xfId="0" applyNumberFormat="1" applyFont="1" applyFill="1" applyBorder="1" applyAlignment="1" applyProtection="1">
      <alignment horizontal="center" vertical="center"/>
      <protection hidden="1"/>
    </xf>
    <xf numFmtId="2" fontId="7" fillId="6" borderId="9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10" xfId="0" applyNumberFormat="1" applyFont="1" applyFill="1" applyBorder="1" applyAlignment="1" applyProtection="1">
      <alignment horizontal="left" vertical="center"/>
      <protection hidden="1"/>
    </xf>
    <xf numFmtId="2" fontId="7" fillId="6" borderId="11" xfId="0" applyNumberFormat="1" applyFont="1" applyFill="1" applyBorder="1" applyAlignment="1" applyProtection="1">
      <alignment horizontal="left" vertical="center"/>
      <protection hidden="1"/>
    </xf>
    <xf numFmtId="164" fontId="7" fillId="9" borderId="45" xfId="0" applyNumberFormat="1" applyFont="1" applyFill="1" applyBorder="1" applyAlignment="1" applyProtection="1">
      <alignment horizontal="center" vertical="center"/>
      <protection hidden="1"/>
    </xf>
    <xf numFmtId="2" fontId="7" fillId="6" borderId="79" xfId="0" applyNumberFormat="1" applyFont="1" applyFill="1" applyBorder="1" applyAlignment="1" applyProtection="1">
      <alignment horizontal="center" vertical="center" wrapText="1"/>
      <protection hidden="1"/>
    </xf>
    <xf numFmtId="171" fontId="7" fillId="7" borderId="18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13" xfId="0" applyNumberFormat="1" applyFont="1" applyFill="1" applyBorder="1" applyAlignment="1" applyProtection="1">
      <alignment horizontal="center" vertical="center"/>
      <protection locked="0" hidden="1"/>
    </xf>
    <xf numFmtId="166" fontId="7" fillId="6" borderId="74" xfId="0" applyNumberFormat="1" applyFont="1" applyFill="1" applyBorder="1" applyAlignment="1" applyProtection="1">
      <alignment horizontal="center" vertical="center"/>
      <protection hidden="1"/>
    </xf>
    <xf numFmtId="169" fontId="7" fillId="6" borderId="72" xfId="0" applyNumberFormat="1" applyFont="1" applyFill="1" applyBorder="1" applyAlignment="1" applyProtection="1">
      <alignment horizontal="center" vertical="center"/>
      <protection hidden="1"/>
    </xf>
    <xf numFmtId="169" fontId="7" fillId="6" borderId="73" xfId="0" applyNumberFormat="1" applyFont="1" applyFill="1" applyBorder="1" applyAlignment="1" applyProtection="1">
      <alignment horizontal="center" vertical="center"/>
      <protection hidden="1"/>
    </xf>
    <xf numFmtId="167" fontId="8" fillId="9" borderId="18" xfId="0" applyNumberFormat="1" applyFont="1" applyFill="1" applyBorder="1" applyAlignment="1" applyProtection="1">
      <alignment horizontal="center" vertical="center"/>
      <protection hidden="1"/>
    </xf>
    <xf numFmtId="2" fontId="13" fillId="6" borderId="15" xfId="0" applyNumberFormat="1" applyFont="1" applyFill="1" applyBorder="1" applyAlignment="1" applyProtection="1">
      <alignment vertical="center" wrapText="1"/>
      <protection hidden="1"/>
    </xf>
    <xf numFmtId="10" fontId="8" fillId="9" borderId="36" xfId="1" applyNumberFormat="1" applyFont="1" applyFill="1" applyBorder="1" applyAlignment="1" applyProtection="1">
      <alignment horizontal="center" vertical="center"/>
      <protection hidden="1"/>
    </xf>
    <xf numFmtId="1" fontId="8" fillId="10" borderId="4" xfId="0" applyNumberFormat="1" applyFont="1" applyFill="1" applyBorder="1" applyAlignment="1" applyProtection="1">
      <alignment horizontal="center" vertical="center" wrapText="1"/>
      <protection hidden="1"/>
    </xf>
    <xf numFmtId="1" fontId="8" fillId="10" borderId="5" xfId="0" applyNumberFormat="1" applyFont="1" applyFill="1" applyBorder="1" applyAlignment="1" applyProtection="1">
      <alignment horizontal="center" vertical="center" wrapText="1"/>
      <protection hidden="1"/>
    </xf>
    <xf numFmtId="1" fontId="8" fillId="17" borderId="40" xfId="0" applyNumberFormat="1" applyFont="1" applyFill="1" applyBorder="1" applyAlignment="1" applyProtection="1">
      <alignment horizontal="center" vertical="center" wrapText="1"/>
      <protection hidden="1"/>
    </xf>
    <xf numFmtId="164" fontId="40" fillId="10" borderId="7" xfId="0" applyNumberFormat="1" applyFont="1" applyFill="1" applyBorder="1" applyAlignment="1" applyProtection="1">
      <alignment horizontal="center" vertical="center" wrapText="1"/>
      <protection hidden="1"/>
    </xf>
    <xf numFmtId="164" fontId="40" fillId="10" borderId="8" xfId="0" applyNumberFormat="1" applyFont="1" applyFill="1" applyBorder="1" applyAlignment="1" applyProtection="1">
      <alignment horizontal="center" vertical="center" wrapText="1"/>
      <protection hidden="1"/>
    </xf>
    <xf numFmtId="2" fontId="40" fillId="10" borderId="8" xfId="0" applyNumberFormat="1" applyFont="1" applyFill="1" applyBorder="1" applyAlignment="1" applyProtection="1">
      <alignment horizontal="center" vertical="center" wrapText="1"/>
      <protection hidden="1"/>
    </xf>
    <xf numFmtId="2" fontId="40" fillId="10" borderId="12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59" xfId="0" applyNumberFormat="1" applyFont="1" applyFill="1" applyBorder="1" applyAlignment="1" applyProtection="1">
      <alignment horizontal="center" vertical="center"/>
      <protection hidden="1"/>
    </xf>
    <xf numFmtId="2" fontId="18" fillId="6" borderId="52" xfId="0" applyNumberFormat="1" applyFont="1" applyFill="1" applyBorder="1" applyAlignment="1" applyProtection="1">
      <alignment horizontal="center" vertical="center"/>
      <protection hidden="1"/>
    </xf>
    <xf numFmtId="2" fontId="18" fillId="6" borderId="55" xfId="0" applyNumberFormat="1" applyFont="1" applyFill="1" applyBorder="1" applyAlignment="1" applyProtection="1">
      <alignment horizontal="centerContinuous" vertical="center" wrapText="1"/>
      <protection hidden="1"/>
    </xf>
    <xf numFmtId="2" fontId="18" fillId="6" borderId="80" xfId="0" applyNumberFormat="1" applyFont="1" applyFill="1" applyBorder="1" applyAlignment="1" applyProtection="1">
      <alignment horizontal="centerContinuous" vertical="center" wrapText="1"/>
      <protection hidden="1"/>
    </xf>
    <xf numFmtId="2" fontId="7" fillId="6" borderId="49" xfId="0" applyNumberFormat="1" applyFont="1" applyFill="1" applyBorder="1" applyProtection="1">
      <protection hidden="1"/>
    </xf>
    <xf numFmtId="2" fontId="7" fillId="6" borderId="50" xfId="0" applyNumberFormat="1" applyFont="1" applyFill="1" applyBorder="1" applyProtection="1">
      <protection hidden="1"/>
    </xf>
    <xf numFmtId="2" fontId="7" fillId="6" borderId="56" xfId="0" applyNumberFormat="1" applyFont="1" applyFill="1" applyBorder="1" applyAlignment="1" applyProtection="1">
      <alignment horizontal="centerContinuous"/>
      <protection hidden="1"/>
    </xf>
    <xf numFmtId="2" fontId="7" fillId="6" borderId="81" xfId="0" applyNumberFormat="1" applyFont="1" applyFill="1" applyBorder="1" applyAlignment="1" applyProtection="1">
      <alignment horizontal="centerContinuous"/>
      <protection hidden="1"/>
    </xf>
    <xf numFmtId="174" fontId="7" fillId="9" borderId="4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5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58" xfId="1" applyNumberFormat="1" applyFont="1" applyFill="1" applyBorder="1" applyAlignment="1" applyProtection="1">
      <alignment vertical="center" wrapText="1"/>
      <protection hidden="1"/>
    </xf>
    <xf numFmtId="174" fontId="7" fillId="9" borderId="65" xfId="1" applyNumberFormat="1" applyFont="1" applyFill="1" applyBorder="1" applyAlignment="1" applyProtection="1">
      <alignment vertical="center" wrapText="1"/>
      <protection hidden="1"/>
    </xf>
    <xf numFmtId="174" fontId="7" fillId="9" borderId="40" xfId="1" applyNumberFormat="1" applyFont="1" applyFill="1" applyBorder="1" applyAlignment="1" applyProtection="1">
      <alignment horizontal="center" vertical="center" wrapText="1"/>
      <protection hidden="1"/>
    </xf>
    <xf numFmtId="174" fontId="7" fillId="9" borderId="42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43" xfId="1" applyNumberFormat="1" applyFont="1" applyFill="1" applyBorder="1" applyAlignment="1" applyProtection="1">
      <alignment horizontal="center" vertical="center" wrapText="1"/>
      <protection hidden="1"/>
    </xf>
    <xf numFmtId="2" fontId="6" fillId="6" borderId="7" xfId="0" applyNumberFormat="1" applyFont="1" applyFill="1" applyBorder="1" applyAlignment="1" applyProtection="1">
      <alignment horizontal="center" vertical="center"/>
      <protection hidden="1"/>
    </xf>
    <xf numFmtId="174" fontId="13" fillId="9" borderId="8" xfId="0" applyNumberFormat="1" applyFont="1" applyFill="1" applyBorder="1" applyProtection="1">
      <protection hidden="1"/>
    </xf>
    <xf numFmtId="173" fontId="7" fillId="2" borderId="41" xfId="0" applyNumberFormat="1" applyFont="1" applyFill="1" applyBorder="1" applyProtection="1">
      <protection hidden="1"/>
    </xf>
    <xf numFmtId="167" fontId="7" fillId="9" borderId="69" xfId="0" applyNumberFormat="1" applyFont="1" applyFill="1" applyBorder="1" applyAlignment="1" applyProtection="1">
      <alignment horizontal="center" vertical="center"/>
      <protection hidden="1"/>
    </xf>
    <xf numFmtId="174" fontId="7" fillId="9" borderId="26" xfId="1" applyNumberFormat="1" applyFont="1" applyFill="1" applyBorder="1" applyAlignment="1" applyProtection="1">
      <alignment vertical="center" wrapText="1"/>
      <protection hidden="1"/>
    </xf>
    <xf numFmtId="174" fontId="7" fillId="9" borderId="29" xfId="0" applyNumberFormat="1" applyFont="1" applyFill="1" applyBorder="1" applyAlignment="1" applyProtection="1">
      <alignment vertical="center" wrapText="1"/>
      <protection hidden="1"/>
    </xf>
    <xf numFmtId="2" fontId="21" fillId="3" borderId="14" xfId="0" applyNumberFormat="1" applyFont="1" applyFill="1" applyBorder="1" applyAlignment="1" applyProtection="1">
      <alignment horizontal="left" vertical="center"/>
      <protection hidden="1"/>
    </xf>
    <xf numFmtId="2" fontId="14" fillId="3" borderId="16" xfId="0" applyNumberFormat="1" applyFont="1" applyFill="1" applyBorder="1" applyProtection="1">
      <protection hidden="1"/>
    </xf>
    <xf numFmtId="2" fontId="21" fillId="3" borderId="22" xfId="0" applyNumberFormat="1" applyFont="1" applyFill="1" applyBorder="1" applyAlignment="1" applyProtection="1">
      <alignment horizontal="right" vertical="center"/>
      <protection hidden="1"/>
    </xf>
    <xf numFmtId="2" fontId="21" fillId="3" borderId="32" xfId="0" applyNumberFormat="1" applyFont="1" applyFill="1" applyBorder="1" applyAlignment="1" applyProtection="1">
      <alignment horizontal="right" vertical="center"/>
      <protection hidden="1"/>
    </xf>
    <xf numFmtId="2" fontId="21" fillId="3" borderId="23" xfId="0" applyNumberFormat="1" applyFont="1" applyFill="1" applyBorder="1" applyAlignment="1" applyProtection="1">
      <alignment horizontal="right" vertical="center"/>
      <protection hidden="1"/>
    </xf>
    <xf numFmtId="164" fontId="7" fillId="9" borderId="42" xfId="0" applyNumberFormat="1" applyFont="1" applyFill="1" applyBorder="1" applyAlignment="1" applyProtection="1">
      <alignment horizontal="center" vertical="center" wrapText="1"/>
      <protection hidden="1"/>
    </xf>
    <xf numFmtId="172" fontId="9" fillId="9" borderId="43" xfId="0" applyNumberFormat="1" applyFont="1" applyFill="1" applyBorder="1" applyAlignment="1" applyProtection="1">
      <alignment horizontal="center" vertical="center"/>
      <protection hidden="1"/>
    </xf>
    <xf numFmtId="2" fontId="7" fillId="2" borderId="32" xfId="0" applyNumberFormat="1" applyFont="1" applyFill="1" applyBorder="1" applyProtection="1">
      <protection hidden="1"/>
    </xf>
    <xf numFmtId="2" fontId="18" fillId="6" borderId="7" xfId="0" applyNumberFormat="1" applyFont="1" applyFill="1" applyBorder="1" applyAlignment="1" applyProtection="1">
      <alignment horizontal="left" vertical="center"/>
      <protection hidden="1"/>
    </xf>
    <xf numFmtId="174" fontId="7" fillId="9" borderId="8" xfId="0" applyNumberFormat="1" applyFont="1" applyFill="1" applyBorder="1" applyAlignment="1" applyProtection="1">
      <alignment horizontal="center" vertical="center"/>
      <protection hidden="1"/>
    </xf>
    <xf numFmtId="171" fontId="18" fillId="9" borderId="15" xfId="0" applyNumberFormat="1" applyFont="1" applyFill="1" applyBorder="1" applyAlignment="1" applyProtection="1">
      <alignment horizontal="center" vertical="center"/>
      <protection hidden="1"/>
    </xf>
    <xf numFmtId="1" fontId="43" fillId="9" borderId="57" xfId="0" applyNumberFormat="1" applyFont="1" applyFill="1" applyBorder="1" applyAlignment="1" applyProtection="1">
      <alignment horizontal="center" vertical="center"/>
      <protection hidden="1"/>
    </xf>
    <xf numFmtId="1" fontId="9" fillId="9" borderId="36" xfId="0" applyNumberFormat="1" applyFont="1" applyFill="1" applyBorder="1" applyAlignment="1" applyProtection="1">
      <alignment horizontal="center" vertical="center"/>
      <protection hidden="1"/>
    </xf>
    <xf numFmtId="174" fontId="7" fillId="9" borderId="2" xfId="0" applyNumberFormat="1" applyFont="1" applyFill="1" applyBorder="1" applyAlignment="1" applyProtection="1">
      <alignment horizontal="center" vertical="center"/>
      <protection hidden="1"/>
    </xf>
    <xf numFmtId="174" fontId="7" fillId="9" borderId="38" xfId="0" applyNumberFormat="1" applyFont="1" applyFill="1" applyBorder="1" applyAlignment="1" applyProtection="1">
      <alignment horizontal="center" vertical="center"/>
      <protection hidden="1"/>
    </xf>
    <xf numFmtId="2" fontId="21" fillId="3" borderId="34" xfId="0" applyNumberFormat="1" applyFont="1" applyFill="1" applyBorder="1" applyAlignment="1" applyProtection="1">
      <alignment horizontal="center" vertical="center"/>
      <protection hidden="1"/>
    </xf>
    <xf numFmtId="2" fontId="21" fillId="3" borderId="57" xfId="0" applyNumberFormat="1" applyFont="1" applyFill="1" applyBorder="1" applyAlignment="1" applyProtection="1">
      <alignment horizontal="center" wrapText="1"/>
      <protection hidden="1"/>
    </xf>
    <xf numFmtId="2" fontId="21" fillId="3" borderId="35" xfId="0" applyNumberFormat="1" applyFont="1" applyFill="1" applyBorder="1" applyAlignment="1" applyProtection="1">
      <alignment horizontal="center" vertical="center"/>
      <protection hidden="1"/>
    </xf>
    <xf numFmtId="174" fontId="7" fillId="9" borderId="19" xfId="0" applyNumberFormat="1" applyFont="1" applyFill="1" applyBorder="1" applyAlignment="1" applyProtection="1">
      <alignment horizontal="center" vertical="center"/>
      <protection hidden="1"/>
    </xf>
    <xf numFmtId="2" fontId="18" fillId="6" borderId="56" xfId="0" applyNumberFormat="1" applyFont="1" applyFill="1" applyBorder="1" applyAlignment="1" applyProtection="1">
      <alignment vertical="center"/>
      <protection hidden="1"/>
    </xf>
    <xf numFmtId="2" fontId="18" fillId="6" borderId="81" xfId="0" applyNumberFormat="1" applyFont="1" applyFill="1" applyBorder="1" applyAlignment="1" applyProtection="1">
      <alignment vertical="center"/>
      <protection hidden="1"/>
    </xf>
    <xf numFmtId="174" fontId="7" fillId="9" borderId="65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66" xfId="0" applyNumberFormat="1" applyFont="1" applyFill="1" applyBorder="1" applyAlignment="1" applyProtection="1">
      <alignment horizontal="center" vertical="center"/>
      <protection hidden="1"/>
    </xf>
    <xf numFmtId="2" fontId="21" fillId="3" borderId="36" xfId="0" applyNumberFormat="1" applyFont="1" applyFill="1" applyBorder="1" applyAlignment="1" applyProtection="1">
      <alignment horizontal="center" vertical="top"/>
      <protection hidden="1"/>
    </xf>
    <xf numFmtId="2" fontId="18" fillId="6" borderId="4" xfId="0" applyNumberFormat="1" applyFont="1" applyFill="1" applyBorder="1" applyAlignment="1" applyProtection="1">
      <alignment horizontal="center" vertical="center" wrapText="1"/>
      <protection hidden="1"/>
    </xf>
    <xf numFmtId="165" fontId="7" fillId="9" borderId="5" xfId="0" applyNumberFormat="1" applyFont="1" applyFill="1" applyBorder="1" applyAlignment="1" applyProtection="1">
      <alignment horizontal="center" vertical="center"/>
      <protection hidden="1"/>
    </xf>
    <xf numFmtId="2" fontId="26" fillId="6" borderId="5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40" xfId="0" applyNumberFormat="1" applyFont="1" applyFill="1" applyBorder="1" applyAlignment="1" applyProtection="1">
      <alignment horizontal="center" vertical="center"/>
      <protection hidden="1"/>
    </xf>
    <xf numFmtId="2" fontId="18" fillId="6" borderId="7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2" xfId="0" applyNumberFormat="1" applyFont="1" applyFill="1" applyBorder="1" applyAlignment="1" applyProtection="1">
      <alignment horizontal="center" vertical="center"/>
      <protection hidden="1"/>
    </xf>
    <xf numFmtId="2" fontId="8" fillId="6" borderId="14" xfId="2" applyNumberFormat="1" applyFont="1" applyFill="1" applyBorder="1" applyAlignment="1" applyProtection="1">
      <alignment horizontal="center" vertical="center"/>
      <protection hidden="1"/>
    </xf>
    <xf numFmtId="2" fontId="8" fillId="6" borderId="79" xfId="2" applyNumberFormat="1" applyFont="1" applyFill="1" applyBorder="1" applyAlignment="1" applyProtection="1">
      <alignment horizontal="center" vertical="center"/>
      <protection hidden="1"/>
    </xf>
    <xf numFmtId="174" fontId="7" fillId="9" borderId="79" xfId="0" applyNumberFormat="1" applyFont="1" applyFill="1" applyBorder="1" applyAlignment="1" applyProtection="1">
      <alignment horizontal="center" vertical="center"/>
      <protection hidden="1"/>
    </xf>
    <xf numFmtId="0" fontId="3" fillId="6" borderId="10" xfId="2" applyFont="1" applyFill="1" applyBorder="1" applyAlignment="1" applyProtection="1">
      <alignment horizontal="center" vertical="center"/>
      <protection hidden="1"/>
    </xf>
    <xf numFmtId="174" fontId="7" fillId="9" borderId="11" xfId="0" applyNumberFormat="1" applyFont="1" applyFill="1" applyBorder="1" applyAlignment="1" applyProtection="1">
      <alignment horizontal="center" vertical="center"/>
      <protection hidden="1"/>
    </xf>
    <xf numFmtId="2" fontId="13" fillId="6" borderId="5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67" xfId="0" applyNumberFormat="1" applyFont="1" applyFill="1" applyBorder="1" applyAlignment="1" applyProtection="1">
      <alignment horizontal="centerContinuous" vertical="center"/>
      <protection hidden="1"/>
    </xf>
    <xf numFmtId="2" fontId="18" fillId="6" borderId="50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6" xfId="0" applyNumberFormat="1" applyFont="1" applyFill="1" applyBorder="1" applyAlignment="1" applyProtection="1">
      <alignment horizontal="centerContinuous" vertical="center"/>
      <protection hidden="1"/>
    </xf>
    <xf numFmtId="2" fontId="13" fillId="6" borderId="5" xfId="0" applyNumberFormat="1" applyFont="1" applyFill="1" applyBorder="1" applyAlignment="1" applyProtection="1">
      <alignment horizontal="center" vertical="center"/>
      <protection hidden="1"/>
    </xf>
    <xf numFmtId="1" fontId="13" fillId="9" borderId="5" xfId="0" applyNumberFormat="1" applyFont="1" applyFill="1" applyBorder="1" applyAlignment="1" applyProtection="1">
      <alignment horizontal="center" vertical="center"/>
      <protection hidden="1"/>
    </xf>
    <xf numFmtId="0" fontId="3" fillId="6" borderId="5" xfId="2" applyFont="1" applyFill="1" applyBorder="1" applyAlignment="1" applyProtection="1">
      <alignment horizontal="center" vertical="center"/>
      <protection hidden="1"/>
    </xf>
    <xf numFmtId="174" fontId="13" fillId="9" borderId="5" xfId="0" applyNumberFormat="1" applyFont="1" applyFill="1" applyBorder="1" applyAlignment="1" applyProtection="1">
      <alignment horizontal="center" vertical="center"/>
      <protection hidden="1"/>
    </xf>
    <xf numFmtId="2" fontId="18" fillId="6" borderId="67" xfId="0" applyNumberFormat="1" applyFont="1" applyFill="1" applyBorder="1" applyAlignment="1" applyProtection="1">
      <alignment horizontal="center" vertical="center"/>
      <protection hidden="1"/>
    </xf>
    <xf numFmtId="2" fontId="40" fillId="6" borderId="8" xfId="0" applyNumberFormat="1" applyFont="1" applyFill="1" applyBorder="1" applyAlignment="1" applyProtection="1">
      <alignment horizontal="center" vertical="center"/>
      <protection hidden="1"/>
    </xf>
    <xf numFmtId="164" fontId="13" fillId="9" borderId="8" xfId="0" applyNumberFormat="1" applyFont="1" applyFill="1" applyBorder="1" applyAlignment="1" applyProtection="1">
      <alignment horizontal="center" vertical="center"/>
      <protection hidden="1"/>
    </xf>
    <xf numFmtId="0" fontId="42" fillId="6" borderId="8" xfId="2" applyFont="1" applyFill="1" applyBorder="1" applyAlignment="1" applyProtection="1">
      <alignment horizontal="center" vertical="center"/>
      <protection hidden="1"/>
    </xf>
    <xf numFmtId="174" fontId="18" fillId="9" borderId="8" xfId="0" applyNumberFormat="1" applyFont="1" applyFill="1" applyBorder="1" applyAlignment="1" applyProtection="1">
      <alignment horizontal="center" vertical="center"/>
      <protection hidden="1"/>
    </xf>
    <xf numFmtId="2" fontId="18" fillId="6" borderId="69" xfId="0" applyNumberFormat="1" applyFont="1" applyFill="1" applyBorder="1" applyAlignment="1" applyProtection="1">
      <alignment horizontal="center" vertical="center"/>
      <protection hidden="1"/>
    </xf>
    <xf numFmtId="0" fontId="6" fillId="0" borderId="43" xfId="0" applyFont="1" applyBorder="1" applyAlignment="1">
      <alignment horizontal="center" vertical="center" wrapText="1"/>
    </xf>
    <xf numFmtId="0" fontId="45" fillId="13" borderId="80" xfId="0" applyFont="1" applyFill="1" applyBorder="1" applyAlignment="1">
      <alignment horizontal="center" vertical="center"/>
    </xf>
    <xf numFmtId="0" fontId="32" fillId="6" borderId="34" xfId="0" applyFont="1" applyFill="1" applyBorder="1" applyAlignment="1" applyProtection="1">
      <alignment horizontal="center" vertical="center"/>
      <protection hidden="1"/>
    </xf>
    <xf numFmtId="0" fontId="32" fillId="0" borderId="40" xfId="0" applyFont="1" applyFill="1" applyBorder="1" applyAlignment="1" applyProtection="1">
      <alignment vertical="center"/>
      <protection hidden="1"/>
    </xf>
    <xf numFmtId="0" fontId="6" fillId="0" borderId="12" xfId="0" applyFont="1" applyBorder="1" applyAlignment="1">
      <alignment horizontal="center" vertical="center" wrapText="1"/>
    </xf>
    <xf numFmtId="2" fontId="33" fillId="0" borderId="16" xfId="0" applyNumberFormat="1" applyFont="1" applyBorder="1" applyAlignment="1" applyProtection="1">
      <alignment horizontal="center" wrapText="1"/>
      <protection hidden="1"/>
    </xf>
    <xf numFmtId="1" fontId="33" fillId="0" borderId="6" xfId="0" applyNumberFormat="1" applyFont="1" applyBorder="1" applyAlignment="1" applyProtection="1">
      <alignment horizontal="center" wrapText="1"/>
      <protection hidden="1"/>
    </xf>
    <xf numFmtId="168" fontId="33" fillId="0" borderId="6" xfId="0" applyNumberFormat="1" applyFont="1" applyBorder="1" applyAlignment="1" applyProtection="1">
      <alignment horizontal="center" wrapText="1"/>
      <protection hidden="1"/>
    </xf>
    <xf numFmtId="0" fontId="32" fillId="25" borderId="22" xfId="0" applyFont="1" applyFill="1" applyBorder="1" applyAlignment="1" applyProtection="1">
      <alignment horizontal="center" vertical="center"/>
      <protection hidden="1"/>
    </xf>
    <xf numFmtId="0" fontId="32" fillId="17" borderId="40" xfId="0" applyFont="1" applyFill="1" applyBorder="1" applyAlignment="1" applyProtection="1">
      <alignment horizontal="center" vertical="center" wrapText="1"/>
      <protection hidden="1"/>
    </xf>
    <xf numFmtId="0" fontId="0" fillId="17" borderId="43" xfId="0" applyFill="1" applyBorder="1" applyAlignment="1" applyProtection="1">
      <alignment horizontal="center" vertical="center" wrapText="1"/>
      <protection hidden="1"/>
    </xf>
    <xf numFmtId="0" fontId="32" fillId="17" borderId="43" xfId="0" applyFont="1" applyFill="1" applyBorder="1" applyAlignment="1" applyProtection="1">
      <alignment horizontal="center" vertical="center" wrapText="1"/>
      <protection hidden="1"/>
    </xf>
    <xf numFmtId="0" fontId="32" fillId="17" borderId="20" xfId="0" applyFont="1" applyFill="1" applyBorder="1" applyAlignment="1" applyProtection="1">
      <alignment horizontal="center" vertical="center"/>
      <protection hidden="1"/>
    </xf>
    <xf numFmtId="0" fontId="32" fillId="17" borderId="50" xfId="0" applyFont="1" applyFill="1" applyBorder="1" applyAlignment="1" applyProtection="1">
      <alignment horizontal="center" vertical="center"/>
      <protection hidden="1"/>
    </xf>
    <xf numFmtId="0" fontId="0" fillId="17" borderId="12" xfId="0" applyFill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left" vertical="center" wrapText="1"/>
      <protection hidden="1"/>
    </xf>
    <xf numFmtId="0" fontId="33" fillId="0" borderId="0" xfId="0" applyFont="1" applyBorder="1" applyAlignment="1" applyProtection="1">
      <alignment horizontal="left"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2" fontId="44" fillId="6" borderId="36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33" fillId="17" borderId="76" xfId="0" applyFont="1" applyFill="1" applyBorder="1" applyAlignment="1" applyProtection="1">
      <alignment horizontal="center"/>
      <protection hidden="1"/>
    </xf>
    <xf numFmtId="0" fontId="33" fillId="17" borderId="77" xfId="0" applyFont="1" applyFill="1" applyBorder="1" applyAlignment="1" applyProtection="1">
      <alignment horizontal="center"/>
      <protection hidden="1"/>
    </xf>
    <xf numFmtId="0" fontId="33" fillId="26" borderId="4" xfId="0" applyFont="1" applyFill="1" applyBorder="1" applyAlignment="1" applyProtection="1">
      <alignment horizontal="center" vertical="center" wrapText="1"/>
      <protection hidden="1"/>
    </xf>
    <xf numFmtId="0" fontId="33" fillId="26" borderId="5" xfId="0" applyFont="1" applyFill="1" applyBorder="1" applyAlignment="1" applyProtection="1">
      <alignment horizontal="center" vertical="center"/>
      <protection hidden="1"/>
    </xf>
    <xf numFmtId="168" fontId="33" fillId="26" borderId="58" xfId="0" applyNumberFormat="1" applyFont="1" applyFill="1" applyBorder="1" applyAlignment="1" applyProtection="1">
      <alignment horizontal="center" vertical="center"/>
      <protection hidden="1"/>
    </xf>
    <xf numFmtId="0" fontId="33" fillId="26" borderId="62" xfId="0" applyFont="1" applyFill="1" applyBorder="1" applyAlignment="1" applyProtection="1">
      <alignment horizontal="center" vertical="center"/>
      <protection hidden="1"/>
    </xf>
    <xf numFmtId="0" fontId="33" fillId="26" borderId="71" xfId="4" applyFont="1" applyFill="1" applyBorder="1" applyProtection="1">
      <alignment horizontal="center" vertical="center"/>
      <protection hidden="1"/>
    </xf>
    <xf numFmtId="0" fontId="33" fillId="26" borderId="67" xfId="4" applyFont="1" applyFill="1" applyBorder="1" applyProtection="1">
      <alignment horizontal="center" vertical="center"/>
      <protection hidden="1"/>
    </xf>
    <xf numFmtId="0" fontId="33" fillId="26" borderId="65" xfId="0" applyFont="1" applyFill="1" applyBorder="1" applyAlignment="1" applyProtection="1">
      <alignment horizontal="center" vertical="center"/>
      <protection hidden="1"/>
    </xf>
    <xf numFmtId="164" fontId="33" fillId="26" borderId="5" xfId="0" applyNumberFormat="1" applyFont="1" applyFill="1" applyBorder="1" applyAlignment="1" applyProtection="1">
      <alignment horizontal="center" vertical="center"/>
      <protection hidden="1"/>
    </xf>
    <xf numFmtId="169" fontId="33" fillId="26" borderId="5" xfId="0" applyNumberFormat="1" applyFont="1" applyFill="1" applyBorder="1" applyAlignment="1" applyProtection="1">
      <alignment horizontal="center" vertical="center"/>
      <protection hidden="1"/>
    </xf>
    <xf numFmtId="0" fontId="33" fillId="26" borderId="40" xfId="0" applyFont="1" applyFill="1" applyBorder="1" applyAlignment="1" applyProtection="1">
      <alignment horizontal="center" vertical="center"/>
      <protection hidden="1"/>
    </xf>
    <xf numFmtId="0" fontId="33" fillId="26" borderId="7" xfId="0" applyFont="1" applyFill="1" applyBorder="1" applyAlignment="1" applyProtection="1">
      <alignment horizontal="center" vertical="center" wrapText="1"/>
      <protection hidden="1"/>
    </xf>
    <xf numFmtId="0" fontId="33" fillId="26" borderId="8" xfId="0" applyFont="1" applyFill="1" applyBorder="1" applyAlignment="1" applyProtection="1">
      <alignment horizontal="center" vertical="center"/>
      <protection hidden="1"/>
    </xf>
    <xf numFmtId="168" fontId="33" fillId="26" borderId="38" xfId="0" applyNumberFormat="1" applyFont="1" applyFill="1" applyBorder="1" applyAlignment="1" applyProtection="1">
      <alignment horizontal="center" vertical="center"/>
      <protection hidden="1"/>
    </xf>
    <xf numFmtId="0" fontId="33" fillId="26" borderId="64" xfId="0" applyFont="1" applyFill="1" applyBorder="1" applyAlignment="1" applyProtection="1">
      <alignment horizontal="center" vertical="center"/>
      <protection hidden="1"/>
    </xf>
    <xf numFmtId="0" fontId="33" fillId="26" borderId="73" xfId="4" applyFont="1" applyFill="1" applyBorder="1" applyProtection="1">
      <alignment horizontal="center" vertical="center"/>
      <protection hidden="1"/>
    </xf>
    <xf numFmtId="0" fontId="33" fillId="26" borderId="69" xfId="4" applyFont="1" applyFill="1" applyBorder="1" applyProtection="1">
      <alignment horizontal="center" vertical="center"/>
      <protection hidden="1"/>
    </xf>
    <xf numFmtId="0" fontId="33" fillId="26" borderId="13" xfId="0" applyFont="1" applyFill="1" applyBorder="1" applyAlignment="1" applyProtection="1">
      <alignment horizontal="center" vertical="center"/>
      <protection hidden="1"/>
    </xf>
    <xf numFmtId="164" fontId="33" fillId="26" borderId="8" xfId="0" applyNumberFormat="1" applyFont="1" applyFill="1" applyBorder="1" applyAlignment="1" applyProtection="1">
      <alignment horizontal="center" vertical="center"/>
      <protection hidden="1"/>
    </xf>
    <xf numFmtId="169" fontId="33" fillId="26" borderId="8" xfId="0" applyNumberFormat="1" applyFont="1" applyFill="1" applyBorder="1" applyAlignment="1" applyProtection="1">
      <alignment horizontal="center" vertical="center"/>
      <protection hidden="1"/>
    </xf>
    <xf numFmtId="0" fontId="33" fillId="26" borderId="12" xfId="0" applyFont="1" applyFill="1" applyBorder="1" applyAlignment="1" applyProtection="1">
      <alignment horizontal="center" vertical="center"/>
      <protection hidden="1"/>
    </xf>
    <xf numFmtId="4" fontId="32" fillId="17" borderId="8" xfId="0" applyNumberFormat="1" applyFont="1" applyFill="1" applyBorder="1" applyAlignment="1" applyProtection="1">
      <alignment horizontal="center" vertical="center" wrapText="1"/>
      <protection hidden="1"/>
    </xf>
    <xf numFmtId="2" fontId="32" fillId="17" borderId="8" xfId="0" applyNumberFormat="1" applyFont="1" applyFill="1" applyBorder="1" applyAlignment="1" applyProtection="1">
      <alignment horizontal="center" vertical="center"/>
      <protection hidden="1"/>
    </xf>
    <xf numFmtId="171" fontId="32" fillId="17" borderId="40" xfId="0" applyNumberFormat="1" applyFont="1" applyFill="1" applyBorder="1" applyAlignment="1" applyProtection="1">
      <alignment horizontal="center" vertical="center" wrapText="1"/>
      <protection hidden="1"/>
    </xf>
    <xf numFmtId="171" fontId="32" fillId="17" borderId="43" xfId="0" applyNumberFormat="1" applyFont="1" applyFill="1" applyBorder="1" applyAlignment="1" applyProtection="1">
      <alignment horizontal="center" vertical="center" wrapText="1"/>
      <protection hidden="1"/>
    </xf>
    <xf numFmtId="171" fontId="0" fillId="17" borderId="12" xfId="0" applyNumberFormat="1" applyFill="1" applyBorder="1" applyAlignment="1" applyProtection="1">
      <alignment horizontal="center" vertical="center" wrapText="1"/>
      <protection hidden="1"/>
    </xf>
    <xf numFmtId="0" fontId="32" fillId="17" borderId="60" xfId="0" applyFont="1" applyFill="1" applyBorder="1" applyAlignment="1" applyProtection="1">
      <alignment horizontal="center" vertical="center"/>
      <protection hidden="1"/>
    </xf>
    <xf numFmtId="0" fontId="32" fillId="17" borderId="43" xfId="0" applyFont="1" applyFill="1" applyBorder="1" applyAlignment="1" applyProtection="1">
      <alignment horizontal="center" vertical="center"/>
      <protection hidden="1"/>
    </xf>
    <xf numFmtId="171" fontId="32" fillId="17" borderId="50" xfId="0" applyNumberFormat="1" applyFont="1" applyFill="1" applyBorder="1" applyAlignment="1" applyProtection="1">
      <alignment horizontal="center" vertical="center"/>
      <protection hidden="1"/>
    </xf>
    <xf numFmtId="0" fontId="32" fillId="17" borderId="12" xfId="0" applyFont="1" applyFill="1" applyBorder="1" applyAlignment="1" applyProtection="1">
      <alignment horizontal="center" vertical="center"/>
      <protection hidden="1"/>
    </xf>
    <xf numFmtId="0" fontId="32" fillId="17" borderId="40" xfId="0" applyFont="1" applyFill="1" applyBorder="1" applyAlignment="1" applyProtection="1">
      <alignment horizontal="center" vertical="center"/>
      <protection hidden="1"/>
    </xf>
    <xf numFmtId="178" fontId="32" fillId="17" borderId="5" xfId="0" applyNumberFormat="1" applyFont="1" applyFill="1" applyBorder="1" applyAlignment="1" applyProtection="1">
      <alignment horizontal="center" vertical="center" wrapText="1"/>
      <protection hidden="1"/>
    </xf>
    <xf numFmtId="4" fontId="32" fillId="17" borderId="5" xfId="0" applyNumberFormat="1" applyFont="1" applyFill="1" applyBorder="1" applyAlignment="1" applyProtection="1">
      <alignment horizontal="center" vertical="center" wrapText="1"/>
      <protection hidden="1"/>
    </xf>
    <xf numFmtId="179" fontId="32" fillId="17" borderId="40" xfId="0" applyNumberFormat="1" applyFont="1" applyFill="1" applyBorder="1" applyAlignment="1" applyProtection="1">
      <alignment horizontal="center" vertical="center" wrapText="1"/>
      <protection hidden="1"/>
    </xf>
    <xf numFmtId="178" fontId="32" fillId="17" borderId="40" xfId="0" applyNumberFormat="1" applyFont="1" applyFill="1" applyBorder="1" applyAlignment="1" applyProtection="1">
      <alignment horizontal="center" vertical="center" wrapText="1"/>
      <protection hidden="1"/>
    </xf>
    <xf numFmtId="178" fontId="32" fillId="17" borderId="43" xfId="0" applyNumberFormat="1" applyFont="1" applyFill="1" applyBorder="1" applyAlignment="1" applyProtection="1">
      <alignment horizontal="center" vertical="center" wrapText="1"/>
      <protection hidden="1"/>
    </xf>
    <xf numFmtId="178" fontId="32" fillId="17" borderId="12" xfId="0" applyNumberFormat="1" applyFont="1" applyFill="1" applyBorder="1" applyAlignment="1" applyProtection="1">
      <alignment horizontal="center" vertical="center" wrapText="1"/>
      <protection hidden="1"/>
    </xf>
    <xf numFmtId="171" fontId="32" fillId="17" borderId="40" xfId="0" applyNumberFormat="1" applyFont="1" applyFill="1" applyBorder="1" applyAlignment="1" applyProtection="1">
      <alignment horizontal="center" vertical="center"/>
      <protection hidden="1"/>
    </xf>
    <xf numFmtId="171" fontId="32" fillId="17" borderId="43" xfId="0" applyNumberFormat="1" applyFont="1" applyFill="1" applyBorder="1" applyAlignment="1" applyProtection="1">
      <alignment horizontal="center" vertical="center"/>
      <protection hidden="1"/>
    </xf>
    <xf numFmtId="2" fontId="32" fillId="17" borderId="5" xfId="0" applyNumberFormat="1" applyFont="1" applyFill="1" applyBorder="1" applyAlignment="1" applyProtection="1">
      <alignment horizontal="center" vertical="center"/>
      <protection hidden="1"/>
    </xf>
    <xf numFmtId="171" fontId="32" fillId="17" borderId="12" xfId="0" applyNumberFormat="1" applyFont="1" applyFill="1" applyBorder="1" applyAlignment="1" applyProtection="1">
      <alignment horizontal="center" vertical="center" wrapText="1"/>
      <protection hidden="1"/>
    </xf>
    <xf numFmtId="0" fontId="32" fillId="17" borderId="12" xfId="0" applyFont="1" applyFill="1" applyBorder="1" applyAlignment="1" applyProtection="1">
      <alignment horizontal="center" vertical="center" wrapText="1"/>
      <protection hidden="1"/>
    </xf>
    <xf numFmtId="0" fontId="33" fillId="0" borderId="59" xfId="0" applyFont="1" applyBorder="1" applyAlignment="1" applyProtection="1">
      <alignment horizontal="center" vertical="center"/>
      <protection hidden="1"/>
    </xf>
    <xf numFmtId="0" fontId="33" fillId="0" borderId="52" xfId="0" applyFont="1" applyBorder="1" applyProtection="1">
      <protection hidden="1"/>
    </xf>
    <xf numFmtId="0" fontId="33" fillId="0" borderId="52" xfId="0" applyFont="1" applyBorder="1" applyAlignment="1" applyProtection="1">
      <alignment horizontal="center" vertical="center"/>
      <protection hidden="1"/>
    </xf>
    <xf numFmtId="3" fontId="33" fillId="17" borderId="4" xfId="0" applyNumberFormat="1" applyFont="1" applyFill="1" applyBorder="1" applyAlignment="1" applyProtection="1">
      <alignment horizontal="center" vertical="center"/>
      <protection hidden="1"/>
    </xf>
    <xf numFmtId="3" fontId="33" fillId="17" borderId="5" xfId="0" applyNumberFormat="1" applyFont="1" applyFill="1" applyBorder="1" applyAlignment="1" applyProtection="1">
      <alignment horizontal="center" vertical="center" wrapText="1"/>
      <protection hidden="1"/>
    </xf>
    <xf numFmtId="168" fontId="33" fillId="17" borderId="5" xfId="0" applyNumberFormat="1" applyFont="1" applyFill="1" applyBorder="1" applyAlignment="1" applyProtection="1">
      <alignment horizontal="center" vertical="center" wrapText="1"/>
      <protection hidden="1"/>
    </xf>
    <xf numFmtId="0" fontId="33" fillId="17" borderId="5" xfId="0" applyFont="1" applyFill="1" applyBorder="1" applyAlignment="1" applyProtection="1">
      <alignment horizontal="center" vertical="center" wrapText="1"/>
      <protection hidden="1"/>
    </xf>
    <xf numFmtId="169" fontId="33" fillId="17" borderId="40" xfId="0" applyNumberFormat="1" applyFont="1" applyFill="1" applyBorder="1" applyAlignment="1" applyProtection="1">
      <alignment horizontal="center" vertical="center"/>
      <protection hidden="1"/>
    </xf>
    <xf numFmtId="169" fontId="33" fillId="17" borderId="43" xfId="0" applyNumberFormat="1" applyFont="1" applyFill="1" applyBorder="1" applyAlignment="1" applyProtection="1">
      <alignment horizontal="center" vertical="center"/>
      <protection hidden="1"/>
    </xf>
    <xf numFmtId="169" fontId="33" fillId="17" borderId="12" xfId="0" applyNumberFormat="1" applyFont="1" applyFill="1" applyBorder="1" applyAlignment="1" applyProtection="1">
      <alignment horizontal="center" vertical="center"/>
      <protection hidden="1"/>
    </xf>
    <xf numFmtId="171" fontId="7" fillId="9" borderId="1" xfId="0" applyNumberFormat="1" applyFont="1" applyFill="1" applyBorder="1" applyAlignment="1" applyProtection="1">
      <alignment horizontal="center" vertical="center"/>
      <protection hidden="1"/>
    </xf>
    <xf numFmtId="11" fontId="13" fillId="9" borderId="5" xfId="0" applyNumberFormat="1" applyFont="1" applyFill="1" applyBorder="1" applyAlignment="1" applyProtection="1">
      <alignment horizontal="centerContinuous" vertical="center" wrapText="1"/>
      <protection hidden="1"/>
    </xf>
    <xf numFmtId="11" fontId="18" fillId="9" borderId="50" xfId="0" applyNumberFormat="1" applyFont="1" applyFill="1" applyBorder="1" applyAlignment="1" applyProtection="1">
      <alignment horizontal="centerContinuous" vertical="center" wrapText="1"/>
      <protection hidden="1"/>
    </xf>
    <xf numFmtId="0" fontId="54" fillId="0" borderId="0" xfId="0" applyFont="1" applyBorder="1" applyAlignment="1" applyProtection="1">
      <alignment horizontal="center" vertical="center" wrapText="1"/>
      <protection hidden="1"/>
    </xf>
    <xf numFmtId="0" fontId="54" fillId="0" borderId="0" xfId="0" applyFont="1" applyBorder="1" applyProtection="1">
      <protection hidden="1"/>
    </xf>
    <xf numFmtId="0" fontId="54" fillId="0" borderId="0" xfId="0" applyFont="1" applyProtection="1">
      <protection hidden="1"/>
    </xf>
    <xf numFmtId="2" fontId="30" fillId="0" borderId="0" xfId="0" applyNumberFormat="1" applyFont="1" applyBorder="1" applyAlignment="1" applyProtection="1">
      <alignment horizontal="center" vertical="center" wrapText="1"/>
      <protection hidden="1"/>
    </xf>
    <xf numFmtId="0" fontId="51" fillId="0" borderId="0" xfId="0" applyFont="1" applyBorder="1" applyAlignment="1" applyProtection="1">
      <alignment horizontal="center" vertical="center" wrapText="1"/>
      <protection hidden="1"/>
    </xf>
    <xf numFmtId="2" fontId="30" fillId="0" borderId="0" xfId="0" applyNumberFormat="1" applyFont="1" applyAlignment="1" applyProtection="1">
      <alignment horizontal="center" vertical="center"/>
      <protection hidden="1"/>
    </xf>
    <xf numFmtId="2" fontId="30" fillId="0" borderId="0" xfId="0" applyNumberFormat="1" applyFont="1" applyAlignment="1" applyProtection="1">
      <alignment horizontal="center" vertical="center" wrapText="1"/>
      <protection hidden="1"/>
    </xf>
    <xf numFmtId="2" fontId="8" fillId="0" borderId="0" xfId="0" applyNumberFormat="1" applyFont="1" applyBorder="1" applyAlignment="1" applyProtection="1">
      <alignment horizontal="center" vertical="center" wrapText="1"/>
      <protection hidden="1"/>
    </xf>
    <xf numFmtId="2" fontId="30" fillId="0" borderId="0" xfId="0" applyNumberFormat="1" applyFont="1" applyAlignment="1" applyProtection="1">
      <alignment horizontal="center" vertical="justify" wrapText="1"/>
      <protection hidden="1"/>
    </xf>
    <xf numFmtId="2" fontId="55" fillId="0" borderId="88" xfId="0" applyNumberFormat="1" applyFont="1" applyBorder="1" applyAlignment="1" applyProtection="1">
      <alignment horizontal="center" vertical="center" wrapText="1"/>
      <protection hidden="1"/>
    </xf>
    <xf numFmtId="2" fontId="55" fillId="0" borderId="89" xfId="0" applyNumberFormat="1" applyFont="1" applyBorder="1" applyAlignment="1" applyProtection="1">
      <alignment horizontal="center" vertical="center" wrapText="1"/>
      <protection hidden="1"/>
    </xf>
    <xf numFmtId="0" fontId="55" fillId="0" borderId="89" xfId="0" applyFont="1" applyBorder="1" applyAlignment="1" applyProtection="1">
      <alignment horizontal="center" vertical="center" wrapText="1"/>
      <protection hidden="1"/>
    </xf>
    <xf numFmtId="170" fontId="55" fillId="0" borderId="89" xfId="0" applyNumberFormat="1" applyFont="1" applyBorder="1" applyAlignment="1" applyProtection="1">
      <alignment horizontal="center" vertical="center" wrapText="1"/>
      <protection hidden="1"/>
    </xf>
    <xf numFmtId="0" fontId="55" fillId="0" borderId="90" xfId="0" applyFont="1" applyBorder="1" applyAlignment="1" applyProtection="1">
      <alignment horizontal="left" vertical="center" wrapText="1"/>
      <protection hidden="1"/>
    </xf>
    <xf numFmtId="0" fontId="55" fillId="0" borderId="90" xfId="0" applyFont="1" applyBorder="1" applyProtection="1">
      <protection hidden="1"/>
    </xf>
    <xf numFmtId="0" fontId="56" fillId="0" borderId="0" xfId="0" applyFont="1" applyBorder="1" applyAlignment="1" applyProtection="1">
      <alignment vertical="center" wrapText="1"/>
      <protection hidden="1"/>
    </xf>
    <xf numFmtId="0" fontId="30" fillId="0" borderId="0" xfId="0" applyFont="1" applyBorder="1" applyAlignment="1" applyProtection="1">
      <alignment vertical="center"/>
      <protection hidden="1"/>
    </xf>
    <xf numFmtId="180" fontId="32" fillId="0" borderId="42" xfId="0" applyNumberFormat="1" applyFont="1" applyFill="1" applyBorder="1" applyAlignment="1" applyProtection="1">
      <alignment horizontal="center" vertical="center"/>
      <protection hidden="1"/>
    </xf>
    <xf numFmtId="11" fontId="32" fillId="0" borderId="1" xfId="0" applyNumberFormat="1" applyFont="1" applyFill="1" applyBorder="1" applyAlignment="1" applyProtection="1">
      <alignment horizontal="center" vertical="center"/>
      <protection hidden="1"/>
    </xf>
    <xf numFmtId="1" fontId="7" fillId="6" borderId="63" xfId="0" applyNumberFormat="1" applyFont="1" applyFill="1" applyBorder="1" applyAlignment="1" applyProtection="1">
      <alignment horizontal="center" vertical="center" wrapText="1"/>
      <protection hidden="1"/>
    </xf>
    <xf numFmtId="1" fontId="7" fillId="6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44" xfId="0" applyNumberFormat="1" applyFont="1" applyFill="1" applyBorder="1" applyAlignment="1" applyProtection="1">
      <alignment horizontal="center" vertical="center"/>
      <protection hidden="1"/>
    </xf>
    <xf numFmtId="2" fontId="7" fillId="6" borderId="20" xfId="0" applyNumberFormat="1" applyFont="1" applyFill="1" applyBorder="1" applyAlignment="1" applyProtection="1">
      <alignment horizontal="center" vertical="center"/>
      <protection hidden="1"/>
    </xf>
    <xf numFmtId="2" fontId="7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45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62" xfId="0" applyNumberFormat="1" applyFont="1" applyFill="1" applyBorder="1" applyAlignment="1" applyProtection="1">
      <alignment horizontal="center" vertical="center"/>
      <protection hidden="1"/>
    </xf>
    <xf numFmtId="0" fontId="34" fillId="13" borderId="22" xfId="0" applyFont="1" applyFill="1" applyBorder="1" applyAlignment="1" applyProtection="1">
      <alignment horizontal="center" vertical="center" wrapText="1"/>
      <protection hidden="1"/>
    </xf>
    <xf numFmtId="0" fontId="34" fillId="13" borderId="32" xfId="0" applyFont="1" applyFill="1" applyBorder="1" applyAlignment="1" applyProtection="1">
      <alignment horizontal="center" vertical="center" wrapText="1"/>
      <protection hidden="1"/>
    </xf>
    <xf numFmtId="0" fontId="34" fillId="13" borderId="23" xfId="0" applyFont="1" applyFill="1" applyBorder="1" applyAlignment="1" applyProtection="1">
      <alignment horizontal="center" vertical="center" wrapText="1"/>
      <protection hidden="1"/>
    </xf>
    <xf numFmtId="0" fontId="34" fillId="13" borderId="21" xfId="0" applyFont="1" applyFill="1" applyBorder="1" applyAlignment="1" applyProtection="1">
      <alignment horizontal="center" vertical="center" wrapText="1"/>
      <protection hidden="1"/>
    </xf>
    <xf numFmtId="0" fontId="34" fillId="13" borderId="41" xfId="0" applyFont="1" applyFill="1" applyBorder="1" applyAlignment="1" applyProtection="1">
      <alignment horizontal="center" vertical="center" wrapText="1"/>
      <protection hidden="1"/>
    </xf>
    <xf numFmtId="0" fontId="34" fillId="13" borderId="6" xfId="0" applyFont="1" applyFill="1" applyBorder="1" applyAlignment="1" applyProtection="1">
      <alignment horizontal="center" vertical="center" wrapText="1"/>
      <protection hidden="1"/>
    </xf>
    <xf numFmtId="49" fontId="30" fillId="6" borderId="44" xfId="2" applyNumberFormat="1" applyFont="1" applyFill="1" applyBorder="1" applyAlignment="1" applyProtection="1">
      <alignment horizontal="center" vertical="center" wrapText="1"/>
      <protection hidden="1"/>
    </xf>
    <xf numFmtId="49" fontId="30" fillId="6" borderId="46" xfId="2" applyNumberFormat="1" applyFont="1" applyFill="1" applyBorder="1" applyAlignment="1" applyProtection="1">
      <alignment horizontal="center" vertical="center" wrapText="1"/>
      <protection hidden="1"/>
    </xf>
    <xf numFmtId="49" fontId="30" fillId="6" borderId="20" xfId="2" applyNumberFormat="1" applyFont="1" applyFill="1" applyBorder="1" applyAlignment="1" applyProtection="1">
      <alignment horizontal="center" vertical="center" wrapText="1"/>
      <protection hidden="1"/>
    </xf>
    <xf numFmtId="49" fontId="30" fillId="6" borderId="33" xfId="2" applyNumberFormat="1" applyFont="1" applyFill="1" applyBorder="1" applyAlignment="1" applyProtection="1">
      <alignment horizontal="center" vertical="center" wrapText="1"/>
      <protection hidden="1"/>
    </xf>
    <xf numFmtId="49" fontId="30" fillId="6" borderId="45" xfId="2" applyNumberFormat="1" applyFont="1" applyFill="1" applyBorder="1" applyAlignment="1" applyProtection="1">
      <alignment horizontal="center" vertical="center" wrapText="1"/>
      <protection hidden="1"/>
    </xf>
    <xf numFmtId="49" fontId="30" fillId="6" borderId="47" xfId="2" applyNumberFormat="1" applyFont="1" applyFill="1" applyBorder="1" applyAlignment="1" applyProtection="1">
      <alignment horizontal="center" vertical="center" wrapText="1"/>
      <protection hidden="1"/>
    </xf>
    <xf numFmtId="0" fontId="33" fillId="0" borderId="34" xfId="0" applyFont="1" applyBorder="1" applyAlignment="1" applyProtection="1">
      <alignment horizontal="center" vertical="center" wrapText="1"/>
      <protection hidden="1"/>
    </xf>
    <xf numFmtId="0" fontId="33" fillId="0" borderId="35" xfId="0" applyFont="1" applyBorder="1" applyAlignment="1" applyProtection="1">
      <alignment horizontal="center" vertical="center" wrapText="1"/>
      <protection hidden="1"/>
    </xf>
    <xf numFmtId="0" fontId="34" fillId="13" borderId="4" xfId="0" applyFont="1" applyFill="1" applyBorder="1" applyAlignment="1" applyProtection="1">
      <alignment horizontal="center" vertical="center" wrapText="1"/>
      <protection hidden="1"/>
    </xf>
    <xf numFmtId="0" fontId="34" fillId="13" borderId="5" xfId="0" applyFont="1" applyFill="1" applyBorder="1" applyAlignment="1" applyProtection="1">
      <alignment horizontal="center" vertical="center" wrapText="1"/>
      <protection hidden="1"/>
    </xf>
    <xf numFmtId="0" fontId="34" fillId="13" borderId="40" xfId="0" applyFont="1" applyFill="1" applyBorder="1" applyAlignment="1" applyProtection="1">
      <alignment horizontal="center" vertical="center" wrapText="1"/>
      <protection hidden="1"/>
    </xf>
    <xf numFmtId="0" fontId="34" fillId="13" borderId="46" xfId="0" applyFont="1" applyFill="1" applyBorder="1" applyAlignment="1" applyProtection="1">
      <alignment horizontal="center" vertical="center" wrapText="1"/>
      <protection hidden="1"/>
    </xf>
    <xf numFmtId="0" fontId="34" fillId="13" borderId="33" xfId="0" applyFont="1" applyFill="1" applyBorder="1" applyAlignment="1" applyProtection="1">
      <alignment horizontal="center" vertical="center" wrapText="1"/>
      <protection hidden="1"/>
    </xf>
    <xf numFmtId="0" fontId="34" fillId="13" borderId="47" xfId="0" applyFont="1" applyFill="1" applyBorder="1" applyAlignment="1" applyProtection="1">
      <alignment horizontal="center" vertical="center" wrapText="1"/>
      <protection hidden="1"/>
    </xf>
    <xf numFmtId="49" fontId="30" fillId="6" borderId="4" xfId="0" applyNumberFormat="1" applyFont="1" applyFill="1" applyBorder="1" applyAlignment="1" applyProtection="1">
      <alignment horizontal="center" vertical="center"/>
      <protection hidden="1"/>
    </xf>
    <xf numFmtId="49" fontId="30" fillId="6" borderId="7" xfId="0" applyNumberFormat="1" applyFont="1" applyFill="1" applyBorder="1" applyAlignment="1" applyProtection="1">
      <alignment horizontal="center" vertical="center"/>
      <protection hidden="1"/>
    </xf>
    <xf numFmtId="49" fontId="30" fillId="6" borderId="5" xfId="0" applyNumberFormat="1" applyFont="1" applyFill="1" applyBorder="1" applyAlignment="1" applyProtection="1">
      <alignment horizontal="center" vertical="center" wrapText="1"/>
      <protection hidden="1"/>
    </xf>
    <xf numFmtId="49" fontId="30" fillId="6" borderId="8" xfId="0" applyNumberFormat="1" applyFont="1" applyFill="1" applyBorder="1" applyAlignment="1" applyProtection="1">
      <alignment horizontal="center" vertical="center" wrapText="1"/>
      <protection hidden="1"/>
    </xf>
    <xf numFmtId="49" fontId="8" fillId="6" borderId="52" xfId="2" applyNumberFormat="1" applyFont="1" applyFill="1" applyBorder="1" applyAlignment="1" applyProtection="1">
      <alignment horizontal="center" vertical="center"/>
      <protection hidden="1"/>
    </xf>
    <xf numFmtId="49" fontId="8" fillId="6" borderId="50" xfId="2" applyNumberFormat="1" applyFont="1" applyFill="1" applyBorder="1" applyAlignment="1" applyProtection="1">
      <alignment horizontal="center" vertical="center"/>
      <protection hidden="1"/>
    </xf>
    <xf numFmtId="49" fontId="17" fillId="6" borderId="5" xfId="0" applyNumberFormat="1" applyFont="1" applyFill="1" applyBorder="1" applyAlignment="1" applyProtection="1">
      <alignment horizontal="center" vertical="center" wrapText="1"/>
      <protection hidden="1"/>
    </xf>
    <xf numFmtId="49" fontId="17" fillId="6" borderId="8" xfId="0" applyNumberFormat="1" applyFont="1" applyFill="1" applyBorder="1" applyAlignment="1" applyProtection="1">
      <alignment horizontal="center" vertical="center" wrapText="1"/>
      <protection hidden="1"/>
    </xf>
    <xf numFmtId="49" fontId="30" fillId="6" borderId="5" xfId="2" applyNumberFormat="1" applyFont="1" applyFill="1" applyBorder="1" applyAlignment="1" applyProtection="1">
      <alignment horizontal="center" vertical="center" wrapText="1"/>
      <protection hidden="1"/>
    </xf>
    <xf numFmtId="49" fontId="30" fillId="6" borderId="8" xfId="2" applyNumberFormat="1" applyFont="1" applyFill="1" applyBorder="1" applyAlignment="1" applyProtection="1">
      <alignment horizontal="center" vertical="center" wrapText="1"/>
      <protection hidden="1"/>
    </xf>
    <xf numFmtId="49" fontId="30" fillId="6" borderId="40" xfId="0" applyNumberFormat="1" applyFont="1" applyFill="1" applyBorder="1" applyAlignment="1" applyProtection="1">
      <alignment horizontal="center" vertical="center" wrapText="1"/>
      <protection hidden="1"/>
    </xf>
    <xf numFmtId="49" fontId="30" fillId="6" borderId="12" xfId="0" applyNumberFormat="1" applyFont="1" applyFill="1" applyBorder="1" applyAlignment="1" applyProtection="1">
      <alignment horizontal="center" vertical="center" wrapText="1"/>
      <protection hidden="1"/>
    </xf>
    <xf numFmtId="0" fontId="30" fillId="6" borderId="4" xfId="0" applyFont="1" applyFill="1" applyBorder="1" applyAlignment="1" applyProtection="1">
      <alignment horizontal="center" vertical="center"/>
      <protection hidden="1"/>
    </xf>
    <xf numFmtId="0" fontId="30" fillId="6" borderId="46" xfId="0" applyFont="1" applyFill="1" applyBorder="1" applyAlignment="1" applyProtection="1">
      <alignment horizontal="center" vertical="center"/>
      <protection hidden="1"/>
    </xf>
    <xf numFmtId="0" fontId="30" fillId="6" borderId="5" xfId="0" applyFont="1" applyFill="1" applyBorder="1" applyAlignment="1" applyProtection="1">
      <alignment horizontal="center" vertical="center"/>
      <protection hidden="1"/>
    </xf>
    <xf numFmtId="0" fontId="30" fillId="6" borderId="33" xfId="0" applyFont="1" applyFill="1" applyBorder="1" applyAlignment="1" applyProtection="1">
      <alignment horizontal="center" vertical="center"/>
      <protection hidden="1"/>
    </xf>
    <xf numFmtId="0" fontId="30" fillId="6" borderId="5" xfId="0" applyFont="1" applyFill="1" applyBorder="1" applyAlignment="1" applyProtection="1">
      <alignment horizontal="center" vertical="center" wrapText="1"/>
      <protection hidden="1"/>
    </xf>
    <xf numFmtId="0" fontId="30" fillId="6" borderId="33" xfId="0" applyFont="1" applyFill="1" applyBorder="1" applyAlignment="1" applyProtection="1">
      <alignment horizontal="center" vertical="center" wrapText="1"/>
      <protection hidden="1"/>
    </xf>
    <xf numFmtId="0" fontId="30" fillId="6" borderId="58" xfId="0" applyFont="1" applyFill="1" applyBorder="1" applyAlignment="1" applyProtection="1">
      <alignment horizontal="center" vertical="center" wrapText="1"/>
      <protection hidden="1"/>
    </xf>
    <xf numFmtId="0" fontId="30" fillId="6" borderId="26" xfId="0" applyFont="1" applyFill="1" applyBorder="1" applyAlignment="1" applyProtection="1">
      <alignment horizontal="center" vertical="center" wrapText="1"/>
      <protection hidden="1"/>
    </xf>
    <xf numFmtId="0" fontId="33" fillId="6" borderId="40" xfId="0" applyFont="1" applyFill="1" applyBorder="1" applyAlignment="1" applyProtection="1">
      <alignment horizontal="center" vertical="center"/>
      <protection hidden="1"/>
    </xf>
    <xf numFmtId="0" fontId="33" fillId="6" borderId="47" xfId="0" applyFont="1" applyFill="1" applyBorder="1" applyAlignment="1" applyProtection="1">
      <alignment horizontal="center" vertical="center"/>
      <protection hidden="1"/>
    </xf>
    <xf numFmtId="0" fontId="32" fillId="0" borderId="34" xfId="0" applyFont="1" applyFill="1" applyBorder="1" applyAlignment="1" applyProtection="1">
      <alignment horizontal="center" vertical="center"/>
      <protection hidden="1"/>
    </xf>
    <xf numFmtId="0" fontId="32" fillId="0" borderId="57" xfId="0" applyFont="1" applyFill="1" applyBorder="1" applyAlignment="1" applyProtection="1">
      <alignment horizontal="center" vertical="center"/>
      <protection hidden="1"/>
    </xf>
    <xf numFmtId="0" fontId="32" fillId="0" borderId="35" xfId="0" applyFont="1" applyFill="1" applyBorder="1" applyAlignment="1" applyProtection="1">
      <alignment horizontal="center" vertical="center"/>
      <protection hidden="1"/>
    </xf>
    <xf numFmtId="0" fontId="33" fillId="0" borderId="22" xfId="0" applyFont="1" applyFill="1" applyBorder="1" applyAlignment="1" applyProtection="1">
      <alignment horizontal="center" vertical="center" wrapText="1"/>
      <protection hidden="1"/>
    </xf>
    <xf numFmtId="0" fontId="33" fillId="0" borderId="24" xfId="0" applyFont="1" applyFill="1" applyBorder="1" applyAlignment="1" applyProtection="1">
      <alignment horizontal="center" vertical="center" wrapText="1"/>
      <protection hidden="1"/>
    </xf>
    <xf numFmtId="0" fontId="33" fillId="0" borderId="21" xfId="0" applyFont="1" applyFill="1" applyBorder="1" applyAlignment="1" applyProtection="1">
      <alignment horizontal="center" vertical="center" wrapText="1"/>
      <protection hidden="1"/>
    </xf>
    <xf numFmtId="0" fontId="33" fillId="0" borderId="57" xfId="0" applyFont="1" applyFill="1" applyBorder="1" applyAlignment="1" applyProtection="1">
      <alignment horizontal="center" vertical="center" wrapText="1"/>
      <protection hidden="1"/>
    </xf>
    <xf numFmtId="0" fontId="33" fillId="0" borderId="35" xfId="0" applyFont="1" applyFill="1" applyBorder="1" applyAlignment="1" applyProtection="1">
      <alignment horizontal="center" vertical="center" wrapText="1"/>
      <protection hidden="1"/>
    </xf>
    <xf numFmtId="0" fontId="30" fillId="6" borderId="52" xfId="0" applyFont="1" applyFill="1" applyBorder="1" applyAlignment="1" applyProtection="1">
      <alignment horizontal="center" vertical="center" wrapText="1"/>
      <protection hidden="1"/>
    </xf>
    <xf numFmtId="0" fontId="30" fillId="6" borderId="27" xfId="0" applyFont="1" applyFill="1" applyBorder="1" applyAlignment="1" applyProtection="1">
      <alignment horizontal="center" vertical="center" wrapText="1"/>
      <protection hidden="1"/>
    </xf>
    <xf numFmtId="0" fontId="17" fillId="6" borderId="20" xfId="0" applyFont="1" applyFill="1" applyBorder="1" applyAlignment="1" applyProtection="1">
      <alignment horizontal="center" vertical="center" wrapText="1"/>
      <protection hidden="1"/>
    </xf>
    <xf numFmtId="0" fontId="17" fillId="6" borderId="33" xfId="0" applyFont="1" applyFill="1" applyBorder="1" applyAlignment="1" applyProtection="1">
      <alignment horizontal="center" vertical="center" wrapText="1"/>
      <protection hidden="1"/>
    </xf>
    <xf numFmtId="0" fontId="17" fillId="6" borderId="45" xfId="0" applyFont="1" applyFill="1" applyBorder="1" applyAlignment="1" applyProtection="1">
      <alignment horizontal="center" vertical="center" wrapText="1"/>
      <protection hidden="1"/>
    </xf>
    <xf numFmtId="0" fontId="17" fillId="6" borderId="47" xfId="0" applyFont="1" applyFill="1" applyBorder="1" applyAlignment="1" applyProtection="1">
      <alignment horizontal="center" vertical="center" wrapText="1"/>
      <protection hidden="1"/>
    </xf>
    <xf numFmtId="0" fontId="33" fillId="6" borderId="57" xfId="0" applyFont="1" applyFill="1" applyBorder="1" applyAlignment="1" applyProtection="1">
      <alignment horizontal="center" vertical="center"/>
      <protection hidden="1"/>
    </xf>
    <xf numFmtId="0" fontId="17" fillId="6" borderId="24" xfId="0" applyFont="1" applyFill="1" applyBorder="1" applyAlignment="1" applyProtection="1">
      <alignment horizontal="center" vertical="center" wrapText="1"/>
      <protection hidden="1"/>
    </xf>
    <xf numFmtId="0" fontId="17" fillId="6" borderId="0" xfId="0" applyFont="1" applyFill="1" applyBorder="1" applyAlignment="1" applyProtection="1">
      <alignment horizontal="center" vertical="center" wrapText="1"/>
      <protection hidden="1"/>
    </xf>
    <xf numFmtId="0" fontId="17" fillId="6" borderId="39" xfId="0" applyFont="1" applyFill="1" applyBorder="1" applyAlignment="1" applyProtection="1">
      <alignment horizontal="center" vertical="center" wrapText="1"/>
      <protection hidden="1"/>
    </xf>
    <xf numFmtId="0" fontId="17" fillId="6" borderId="18" xfId="0" applyFont="1" applyFill="1" applyBorder="1" applyAlignment="1" applyProtection="1">
      <alignment horizontal="center" vertical="center" wrapText="1"/>
      <protection hidden="1"/>
    </xf>
    <xf numFmtId="0" fontId="17" fillId="6" borderId="29" xfId="0" applyFont="1" applyFill="1" applyBorder="1" applyAlignment="1" applyProtection="1">
      <alignment horizontal="center" vertical="center" wrapText="1"/>
      <protection hidden="1"/>
    </xf>
    <xf numFmtId="0" fontId="33" fillId="0" borderId="34" xfId="0" applyFont="1" applyFill="1" applyBorder="1" applyAlignment="1" applyProtection="1">
      <alignment horizontal="center" vertical="center" wrapText="1"/>
      <protection hidden="1"/>
    </xf>
    <xf numFmtId="0" fontId="34" fillId="13" borderId="22" xfId="0" applyFont="1" applyFill="1" applyBorder="1" applyAlignment="1" applyProtection="1">
      <alignment horizontal="center" vertical="center"/>
      <protection hidden="1"/>
    </xf>
    <xf numFmtId="0" fontId="34" fillId="13" borderId="32" xfId="0" applyFont="1" applyFill="1" applyBorder="1" applyAlignment="1" applyProtection="1">
      <alignment horizontal="center" vertical="center"/>
      <protection hidden="1"/>
    </xf>
    <xf numFmtId="0" fontId="34" fillId="13" borderId="23" xfId="0" applyFont="1" applyFill="1" applyBorder="1" applyAlignment="1" applyProtection="1">
      <alignment horizontal="center" vertical="center"/>
      <protection hidden="1"/>
    </xf>
    <xf numFmtId="0" fontId="34" fillId="13" borderId="21" xfId="0" applyFont="1" applyFill="1" applyBorder="1" applyAlignment="1" applyProtection="1">
      <alignment horizontal="center" vertical="center"/>
      <protection hidden="1"/>
    </xf>
    <xf numFmtId="0" fontId="34" fillId="13" borderId="41" xfId="0" applyFont="1" applyFill="1" applyBorder="1" applyAlignment="1" applyProtection="1">
      <alignment horizontal="center" vertical="center"/>
      <protection hidden="1"/>
    </xf>
    <xf numFmtId="0" fontId="34" fillId="13" borderId="6" xfId="0" applyFont="1" applyFill="1" applyBorder="1" applyAlignment="1" applyProtection="1">
      <alignment horizontal="center" vertical="center"/>
      <protection hidden="1"/>
    </xf>
    <xf numFmtId="0" fontId="34" fillId="13" borderId="14" xfId="0" applyFont="1" applyFill="1" applyBorder="1" applyAlignment="1" applyProtection="1">
      <alignment horizontal="center" vertical="center"/>
      <protection hidden="1"/>
    </xf>
    <xf numFmtId="0" fontId="34" fillId="13" borderId="15" xfId="0" applyFont="1" applyFill="1" applyBorder="1" applyAlignment="1" applyProtection="1">
      <alignment horizontal="center" vertical="center"/>
      <protection hidden="1"/>
    </xf>
    <xf numFmtId="0" fontId="34" fillId="13" borderId="16" xfId="0" applyFont="1" applyFill="1" applyBorder="1" applyAlignment="1" applyProtection="1">
      <alignment horizontal="center" vertical="center"/>
      <protection hidden="1"/>
    </xf>
    <xf numFmtId="0" fontId="17" fillId="6" borderId="44" xfId="0" applyFont="1" applyFill="1" applyBorder="1" applyAlignment="1" applyProtection="1">
      <alignment horizontal="center" vertical="center" wrapText="1"/>
      <protection hidden="1"/>
    </xf>
    <xf numFmtId="0" fontId="17" fillId="6" borderId="46" xfId="0" applyFont="1" applyFill="1" applyBorder="1" applyAlignment="1" applyProtection="1">
      <alignment horizontal="center" vertical="center" wrapText="1"/>
      <protection hidden="1"/>
    </xf>
    <xf numFmtId="168" fontId="32" fillId="20" borderId="52" xfId="0" applyNumberFormat="1" applyFont="1" applyFill="1" applyBorder="1" applyAlignment="1" applyProtection="1">
      <alignment horizontal="center" vertical="center"/>
      <protection hidden="1"/>
    </xf>
    <xf numFmtId="168" fontId="32" fillId="20" borderId="27" xfId="0" applyNumberFormat="1" applyFont="1" applyFill="1" applyBorder="1" applyAlignment="1" applyProtection="1">
      <alignment horizontal="center" vertical="center"/>
      <protection hidden="1"/>
    </xf>
    <xf numFmtId="168" fontId="32" fillId="20" borderId="20" xfId="0" applyNumberFormat="1" applyFont="1" applyFill="1" applyBorder="1" applyAlignment="1" applyProtection="1">
      <alignment horizontal="center" vertical="center"/>
      <protection hidden="1"/>
    </xf>
    <xf numFmtId="14" fontId="32" fillId="20" borderId="60" xfId="0" applyNumberFormat="1" applyFont="1" applyFill="1" applyBorder="1" applyAlignment="1" applyProtection="1">
      <alignment horizontal="center" vertical="center"/>
      <protection hidden="1"/>
    </xf>
    <xf numFmtId="14" fontId="32" fillId="20" borderId="53" xfId="0" applyNumberFormat="1" applyFont="1" applyFill="1" applyBorder="1" applyAlignment="1" applyProtection="1">
      <alignment horizontal="center" vertical="center"/>
      <protection hidden="1"/>
    </xf>
    <xf numFmtId="14" fontId="32" fillId="20" borderId="45" xfId="0" applyNumberFormat="1" applyFont="1" applyFill="1" applyBorder="1" applyAlignment="1" applyProtection="1">
      <alignment horizontal="center" vertical="center"/>
      <protection hidden="1"/>
    </xf>
    <xf numFmtId="168" fontId="33" fillId="0" borderId="20" xfId="0" applyNumberFormat="1" applyFont="1" applyBorder="1" applyAlignment="1" applyProtection="1">
      <alignment horizontal="center" vertical="center" wrapText="1"/>
      <protection hidden="1"/>
    </xf>
    <xf numFmtId="168" fontId="33" fillId="0" borderId="1" xfId="0" applyNumberFormat="1" applyFont="1" applyBorder="1" applyAlignment="1" applyProtection="1">
      <alignment horizontal="center" vertical="center" wrapText="1"/>
      <protection hidden="1"/>
    </xf>
    <xf numFmtId="168" fontId="33" fillId="0" borderId="8" xfId="0" applyNumberFormat="1" applyFont="1" applyBorder="1" applyAlignment="1" applyProtection="1">
      <alignment horizontal="center" vertical="center" wrapText="1"/>
      <protection hidden="1"/>
    </xf>
    <xf numFmtId="0" fontId="33" fillId="0" borderId="45" xfId="0" applyFont="1" applyBorder="1" applyAlignment="1" applyProtection="1">
      <alignment horizontal="center" vertical="center" wrapText="1"/>
      <protection hidden="1"/>
    </xf>
    <xf numFmtId="0" fontId="33" fillId="0" borderId="43" xfId="0" applyFont="1" applyBorder="1" applyAlignment="1" applyProtection="1">
      <alignment horizontal="center" vertical="center" wrapText="1"/>
      <protection hidden="1"/>
    </xf>
    <xf numFmtId="0" fontId="33" fillId="0" borderId="12" xfId="0" applyFont="1" applyBorder="1" applyAlignment="1" applyProtection="1">
      <alignment horizontal="center" vertical="center" wrapText="1"/>
      <protection hidden="1"/>
    </xf>
    <xf numFmtId="3" fontId="32" fillId="19" borderId="4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34" fillId="20" borderId="22" xfId="0" applyFont="1" applyFill="1" applyBorder="1" applyAlignment="1" applyProtection="1">
      <alignment horizontal="center" vertical="center"/>
      <protection hidden="1"/>
    </xf>
    <xf numFmtId="0" fontId="34" fillId="20" borderId="23" xfId="0" applyFont="1" applyFill="1" applyBorder="1" applyAlignment="1" applyProtection="1">
      <alignment horizontal="center" vertical="center"/>
      <protection hidden="1"/>
    </xf>
    <xf numFmtId="0" fontId="34" fillId="20" borderId="24" xfId="0" applyFont="1" applyFill="1" applyBorder="1" applyAlignment="1" applyProtection="1">
      <alignment horizontal="center" vertical="center"/>
      <protection hidden="1"/>
    </xf>
    <xf numFmtId="0" fontId="34" fillId="20" borderId="39" xfId="0" applyFont="1" applyFill="1" applyBorder="1" applyAlignment="1" applyProtection="1">
      <alignment horizontal="center" vertical="center"/>
      <protection hidden="1"/>
    </xf>
    <xf numFmtId="0" fontId="34" fillId="20" borderId="21" xfId="0" applyFont="1" applyFill="1" applyBorder="1" applyAlignment="1" applyProtection="1">
      <alignment horizontal="center" vertical="center"/>
      <protection hidden="1"/>
    </xf>
    <xf numFmtId="0" fontId="34" fillId="20" borderId="6" xfId="0" applyFont="1" applyFill="1" applyBorder="1" applyAlignment="1" applyProtection="1">
      <alignment horizontal="center" vertical="center"/>
      <protection hidden="1"/>
    </xf>
    <xf numFmtId="0" fontId="32" fillId="20" borderId="33" xfId="0" applyFont="1" applyFill="1" applyBorder="1" applyAlignment="1" applyProtection="1">
      <alignment horizontal="center" vertical="center"/>
      <protection hidden="1"/>
    </xf>
    <xf numFmtId="0" fontId="32" fillId="20" borderId="27" xfId="0" applyFont="1" applyFill="1" applyBorder="1" applyAlignment="1" applyProtection="1">
      <alignment horizontal="center" vertical="center"/>
      <protection hidden="1"/>
    </xf>
    <xf numFmtId="0" fontId="32" fillId="20" borderId="20" xfId="0" applyFont="1" applyFill="1" applyBorder="1" applyAlignment="1" applyProtection="1">
      <alignment horizontal="center" vertical="center"/>
      <protection hidden="1"/>
    </xf>
    <xf numFmtId="168" fontId="32" fillId="20" borderId="33" xfId="0" applyNumberFormat="1" applyFont="1" applyFill="1" applyBorder="1" applyAlignment="1" applyProtection="1">
      <alignment horizontal="center" vertical="center"/>
      <protection hidden="1"/>
    </xf>
    <xf numFmtId="14" fontId="32" fillId="20" borderId="47" xfId="0" applyNumberFormat="1" applyFont="1" applyFill="1" applyBorder="1" applyAlignment="1" applyProtection="1">
      <alignment horizontal="center" vertical="center"/>
      <protection hidden="1"/>
    </xf>
    <xf numFmtId="0" fontId="30" fillId="20" borderId="22" xfId="0" applyFont="1" applyFill="1" applyBorder="1" applyAlignment="1" applyProtection="1">
      <alignment horizontal="center" vertical="center"/>
      <protection hidden="1"/>
    </xf>
    <xf numFmtId="0" fontId="33" fillId="20" borderId="23" xfId="0" applyFont="1" applyFill="1" applyBorder="1" applyAlignment="1" applyProtection="1">
      <alignment horizontal="center" vertical="center"/>
      <protection hidden="1"/>
    </xf>
    <xf numFmtId="0" fontId="33" fillId="20" borderId="24" xfId="0" applyFont="1" applyFill="1" applyBorder="1" applyAlignment="1" applyProtection="1">
      <alignment horizontal="center" vertical="center"/>
      <protection hidden="1"/>
    </xf>
    <xf numFmtId="0" fontId="33" fillId="20" borderId="39" xfId="0" applyFont="1" applyFill="1" applyBorder="1" applyAlignment="1" applyProtection="1">
      <alignment horizontal="center" vertical="center"/>
      <protection hidden="1"/>
    </xf>
    <xf numFmtId="0" fontId="33" fillId="20" borderId="21" xfId="0" applyFont="1" applyFill="1" applyBorder="1" applyAlignment="1" applyProtection="1">
      <alignment horizontal="center" vertical="center"/>
      <protection hidden="1"/>
    </xf>
    <xf numFmtId="0" fontId="33" fillId="20" borderId="6" xfId="0" applyFont="1" applyFill="1" applyBorder="1" applyAlignment="1" applyProtection="1">
      <alignment horizontal="center" vertical="center"/>
      <protection hidden="1"/>
    </xf>
    <xf numFmtId="0" fontId="32" fillId="20" borderId="59" xfId="0" applyFont="1" applyFill="1" applyBorder="1" applyAlignment="1" applyProtection="1">
      <alignment horizontal="center" vertical="center" wrapText="1"/>
      <protection hidden="1"/>
    </xf>
    <xf numFmtId="0" fontId="32" fillId="20" borderId="54" xfId="0" applyFont="1" applyFill="1" applyBorder="1" applyAlignment="1" applyProtection="1">
      <alignment horizontal="center" vertical="center" wrapText="1"/>
      <protection hidden="1"/>
    </xf>
    <xf numFmtId="0" fontId="32" fillId="20" borderId="49" xfId="0" applyFont="1" applyFill="1" applyBorder="1" applyAlignment="1" applyProtection="1">
      <alignment horizontal="center" vertical="center" wrapText="1"/>
      <protection hidden="1"/>
    </xf>
    <xf numFmtId="0" fontId="33" fillId="20" borderId="52" xfId="0" applyFont="1" applyFill="1" applyBorder="1" applyAlignment="1" applyProtection="1">
      <alignment horizontal="center" vertical="center"/>
      <protection hidden="1"/>
    </xf>
    <xf numFmtId="0" fontId="33" fillId="20" borderId="27" xfId="0" applyFont="1" applyFill="1" applyBorder="1" applyAlignment="1" applyProtection="1">
      <alignment horizontal="center" vertical="center"/>
      <protection hidden="1"/>
    </xf>
    <xf numFmtId="0" fontId="33" fillId="20" borderId="50" xfId="0" applyFont="1" applyFill="1" applyBorder="1" applyAlignment="1" applyProtection="1">
      <alignment horizontal="center" vertical="center"/>
      <protection hidden="1"/>
    </xf>
    <xf numFmtId="3" fontId="32" fillId="20" borderId="5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32" fillId="20" borderId="52" xfId="0" applyFont="1" applyFill="1" applyBorder="1" applyAlignment="1" applyProtection="1">
      <alignment horizontal="center" vertical="center"/>
      <protection hidden="1"/>
    </xf>
    <xf numFmtId="0" fontId="32" fillId="20" borderId="50" xfId="0" applyFont="1" applyFill="1" applyBorder="1" applyAlignment="1" applyProtection="1">
      <alignment horizontal="center" vertical="center"/>
      <protection hidden="1"/>
    </xf>
    <xf numFmtId="168" fontId="33" fillId="0" borderId="5" xfId="0" applyNumberFormat="1" applyFont="1" applyBorder="1" applyAlignment="1" applyProtection="1">
      <alignment horizontal="center" vertical="center" wrapText="1"/>
      <protection hidden="1"/>
    </xf>
    <xf numFmtId="0" fontId="33" fillId="0" borderId="40" xfId="0" applyFont="1" applyBorder="1" applyAlignment="1" applyProtection="1">
      <alignment horizontal="center" vertical="center" wrapText="1"/>
      <protection hidden="1"/>
    </xf>
    <xf numFmtId="178" fontId="32" fillId="20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3" fontId="32" fillId="20" borderId="33" xfId="0" applyNumberFormat="1" applyFont="1" applyFill="1" applyBorder="1" applyAlignment="1" applyProtection="1">
      <alignment horizontal="center" vertical="center" wrapText="1"/>
      <protection hidden="1"/>
    </xf>
    <xf numFmtId="168" fontId="32" fillId="20" borderId="33" xfId="0" applyNumberFormat="1" applyFont="1" applyFill="1" applyBorder="1" applyAlignment="1" applyProtection="1">
      <alignment horizontal="center" vertical="center" wrapText="1"/>
      <protection hidden="1"/>
    </xf>
    <xf numFmtId="14" fontId="32" fillId="20" borderId="4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168" fontId="32" fillId="20" borderId="50" xfId="0" applyNumberFormat="1" applyFont="1" applyFill="1" applyBorder="1" applyAlignment="1" applyProtection="1">
      <alignment horizontal="center" vertical="center"/>
      <protection hidden="1"/>
    </xf>
    <xf numFmtId="0" fontId="32" fillId="20" borderId="47" xfId="0" applyFont="1" applyFill="1" applyBorder="1" applyAlignment="1" applyProtection="1">
      <alignment horizontal="center" vertical="center"/>
      <protection hidden="1"/>
    </xf>
    <xf numFmtId="0" fontId="32" fillId="20" borderId="53" xfId="0" applyFont="1" applyFill="1" applyBorder="1" applyAlignment="1" applyProtection="1">
      <alignment horizontal="center" vertical="center"/>
      <protection hidden="1"/>
    </xf>
    <xf numFmtId="0" fontId="32" fillId="20" borderId="51" xfId="0" applyFont="1" applyFill="1" applyBorder="1" applyAlignment="1" applyProtection="1">
      <alignment horizontal="center" vertical="center"/>
      <protection hidden="1"/>
    </xf>
    <xf numFmtId="0" fontId="30" fillId="20" borderId="22" xfId="0" applyFont="1" applyFill="1" applyBorder="1" applyAlignment="1" applyProtection="1">
      <alignment horizontal="center" vertical="center" wrapText="1"/>
      <protection hidden="1"/>
    </xf>
    <xf numFmtId="0" fontId="30" fillId="20" borderId="23" xfId="0" applyFont="1" applyFill="1" applyBorder="1" applyAlignment="1" applyProtection="1">
      <alignment horizontal="center" vertical="center" wrapText="1"/>
      <protection hidden="1"/>
    </xf>
    <xf numFmtId="0" fontId="30" fillId="20" borderId="24" xfId="0" applyFont="1" applyFill="1" applyBorder="1" applyAlignment="1" applyProtection="1">
      <alignment horizontal="center" vertical="center" wrapText="1"/>
      <protection hidden="1"/>
    </xf>
    <xf numFmtId="0" fontId="30" fillId="20" borderId="39" xfId="0" applyFont="1" applyFill="1" applyBorder="1" applyAlignment="1" applyProtection="1">
      <alignment horizontal="center" vertical="center" wrapText="1"/>
      <protection hidden="1"/>
    </xf>
    <xf numFmtId="0" fontId="30" fillId="20" borderId="21" xfId="0" applyFont="1" applyFill="1" applyBorder="1" applyAlignment="1" applyProtection="1">
      <alignment horizontal="center" vertical="center" wrapText="1"/>
      <protection hidden="1"/>
    </xf>
    <xf numFmtId="0" fontId="30" fillId="20" borderId="6" xfId="0" applyFont="1" applyFill="1" applyBorder="1" applyAlignment="1" applyProtection="1">
      <alignment horizontal="center" vertical="center" wrapText="1"/>
      <protection hidden="1"/>
    </xf>
    <xf numFmtId="0" fontId="33" fillId="20" borderId="52" xfId="0" applyFont="1" applyFill="1" applyBorder="1" applyAlignment="1" applyProtection="1">
      <alignment horizontal="center" vertical="center" wrapText="1"/>
      <protection hidden="1"/>
    </xf>
    <xf numFmtId="0" fontId="32" fillId="20" borderId="52" xfId="0" applyFont="1" applyFill="1" applyBorder="1" applyAlignment="1" applyProtection="1">
      <alignment horizontal="center" vertical="center" wrapText="1"/>
      <protection hidden="1"/>
    </xf>
    <xf numFmtId="168" fontId="32" fillId="20" borderId="52" xfId="0" applyNumberFormat="1" applyFont="1" applyFill="1" applyBorder="1" applyAlignment="1" applyProtection="1">
      <alignment horizontal="center" vertical="center" wrapText="1"/>
      <protection hidden="1"/>
    </xf>
    <xf numFmtId="0" fontId="32" fillId="20" borderId="60" xfId="0" applyFont="1" applyFill="1" applyBorder="1" applyAlignment="1" applyProtection="1">
      <alignment horizontal="center" vertical="center" wrapText="1"/>
      <protection hidden="1"/>
    </xf>
    <xf numFmtId="0" fontId="32" fillId="20" borderId="5" xfId="0" applyFont="1" applyFill="1" applyBorder="1" applyAlignment="1" applyProtection="1">
      <alignment horizontal="center" vertical="center" wrapText="1"/>
      <protection hidden="1"/>
    </xf>
    <xf numFmtId="0" fontId="0" fillId="20" borderId="1" xfId="0" applyFill="1" applyBorder="1" applyAlignment="1" applyProtection="1">
      <alignment horizontal="center" vertical="center" wrapText="1"/>
      <protection hidden="1"/>
    </xf>
    <xf numFmtId="168" fontId="32" fillId="20" borderId="5" xfId="0" applyNumberFormat="1" applyFont="1" applyFill="1" applyBorder="1" applyAlignment="1" applyProtection="1">
      <alignment horizontal="center" vertical="center" wrapText="1"/>
      <protection hidden="1"/>
    </xf>
    <xf numFmtId="168" fontId="32" fillId="20" borderId="40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43" xfId="0" applyFill="1" applyBorder="1" applyAlignment="1" applyProtection="1">
      <alignment horizontal="center" vertical="center" wrapText="1"/>
      <protection hidden="1"/>
    </xf>
    <xf numFmtId="4" fontId="32" fillId="20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1" xfId="0" applyBorder="1" applyAlignment="1" applyProtection="1">
      <alignment horizontal="center" vertical="center" wrapText="1"/>
      <protection hidden="1"/>
    </xf>
    <xf numFmtId="0" fontId="30" fillId="20" borderId="32" xfId="0" applyFont="1" applyFill="1" applyBorder="1" applyAlignment="1" applyProtection="1">
      <alignment horizontal="center" vertical="center"/>
      <protection hidden="1"/>
    </xf>
    <xf numFmtId="0" fontId="30" fillId="20" borderId="24" xfId="0" applyFont="1" applyFill="1" applyBorder="1" applyAlignment="1" applyProtection="1">
      <alignment horizontal="center" vertical="center"/>
      <protection hidden="1"/>
    </xf>
    <xf numFmtId="0" fontId="30" fillId="20" borderId="0" xfId="0" applyFont="1" applyFill="1" applyBorder="1" applyAlignment="1" applyProtection="1">
      <alignment horizontal="center" vertical="center"/>
      <protection hidden="1"/>
    </xf>
    <xf numFmtId="0" fontId="30" fillId="20" borderId="21" xfId="0" applyFont="1" applyFill="1" applyBorder="1" applyAlignment="1" applyProtection="1">
      <alignment horizontal="center" vertical="center"/>
      <protection hidden="1"/>
    </xf>
    <xf numFmtId="0" fontId="30" fillId="20" borderId="41" xfId="0" applyFont="1" applyFill="1" applyBorder="1" applyAlignment="1" applyProtection="1">
      <alignment horizontal="center" vertical="center"/>
      <protection hidden="1"/>
    </xf>
    <xf numFmtId="0" fontId="33" fillId="20" borderId="5" xfId="0" applyFont="1" applyFill="1" applyBorder="1" applyAlignment="1" applyProtection="1">
      <alignment horizontal="center" vertical="center"/>
      <protection hidden="1"/>
    </xf>
    <xf numFmtId="0" fontId="33" fillId="20" borderId="1" xfId="0" applyFont="1" applyFill="1" applyBorder="1" applyAlignment="1" applyProtection="1">
      <alignment horizontal="center" vertical="center"/>
      <protection hidden="1"/>
    </xf>
    <xf numFmtId="0" fontId="33" fillId="20" borderId="8" xfId="0" applyFont="1" applyFill="1" applyBorder="1" applyAlignment="1" applyProtection="1">
      <alignment horizontal="center" vertical="center"/>
      <protection hidden="1"/>
    </xf>
    <xf numFmtId="0" fontId="34" fillId="20" borderId="32" xfId="0" applyFont="1" applyFill="1" applyBorder="1" applyAlignment="1" applyProtection="1">
      <alignment horizontal="center" vertical="center"/>
      <protection hidden="1"/>
    </xf>
    <xf numFmtId="0" fontId="34" fillId="20" borderId="0" xfId="0" applyFont="1" applyFill="1" applyBorder="1" applyAlignment="1" applyProtection="1">
      <alignment horizontal="center" vertical="center"/>
      <protection hidden="1"/>
    </xf>
    <xf numFmtId="0" fontId="34" fillId="20" borderId="41" xfId="0" applyFont="1" applyFill="1" applyBorder="1" applyAlignment="1" applyProtection="1">
      <alignment horizontal="center" vertical="center"/>
      <protection hidden="1"/>
    </xf>
    <xf numFmtId="0" fontId="32" fillId="20" borderId="1" xfId="0" applyFont="1" applyFill="1" applyBorder="1" applyAlignment="1" applyProtection="1">
      <alignment horizontal="center" vertical="center" wrapText="1"/>
      <protection hidden="1"/>
    </xf>
    <xf numFmtId="168" fontId="32" fillId="20" borderId="43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8" xfId="0" applyFill="1" applyBorder="1" applyAlignment="1" applyProtection="1">
      <alignment horizontal="center" vertical="center" wrapText="1"/>
      <protection hidden="1"/>
    </xf>
    <xf numFmtId="168" fontId="32" fillId="2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12" xfId="0" applyFill="1" applyBorder="1" applyAlignment="1" applyProtection="1">
      <alignment horizontal="center" vertical="center" wrapText="1"/>
      <protection hidden="1"/>
    </xf>
    <xf numFmtId="0" fontId="34" fillId="20" borderId="42" xfId="0" applyFont="1" applyFill="1" applyBorder="1" applyAlignment="1" applyProtection="1">
      <alignment horizontal="center" vertical="center"/>
      <protection hidden="1"/>
    </xf>
    <xf numFmtId="0" fontId="34" fillId="20" borderId="1" xfId="0" applyFont="1" applyFill="1" applyBorder="1" applyAlignment="1" applyProtection="1">
      <alignment horizontal="center" vertical="center"/>
      <protection hidden="1"/>
    </xf>
    <xf numFmtId="0" fontId="30" fillId="20" borderId="4" xfId="0" applyFont="1" applyFill="1" applyBorder="1" applyAlignment="1" applyProtection="1">
      <alignment horizontal="center" vertical="center"/>
      <protection hidden="1"/>
    </xf>
    <xf numFmtId="0" fontId="33" fillId="20" borderId="42" xfId="0" applyFont="1" applyFill="1" applyBorder="1" applyAlignment="1" applyProtection="1">
      <alignment horizontal="center" vertical="center"/>
      <protection hidden="1"/>
    </xf>
    <xf numFmtId="171" fontId="32" fillId="20" borderId="5" xfId="0" applyNumberFormat="1" applyFont="1" applyFill="1" applyBorder="1" applyAlignment="1" applyProtection="1">
      <alignment horizontal="center" vertical="center" wrapText="1"/>
      <protection hidden="1"/>
    </xf>
    <xf numFmtId="171" fontId="0" fillId="20" borderId="1" xfId="0" applyNumberFormat="1" applyFill="1" applyBorder="1" applyAlignment="1" applyProtection="1">
      <alignment horizontal="center" vertical="center" wrapText="1"/>
      <protection hidden="1"/>
    </xf>
    <xf numFmtId="0" fontId="34" fillId="20" borderId="7" xfId="0" applyFont="1" applyFill="1" applyBorder="1" applyAlignment="1" applyProtection="1">
      <alignment horizontal="center" vertical="center"/>
      <protection hidden="1"/>
    </xf>
    <xf numFmtId="0" fontId="34" fillId="20" borderId="8" xfId="0" applyFont="1" applyFill="1" applyBorder="1" applyAlignment="1" applyProtection="1">
      <alignment horizontal="center" vertical="center"/>
      <protection hidden="1"/>
    </xf>
    <xf numFmtId="1" fontId="32" fillId="20" borderId="1" xfId="0" applyNumberFormat="1" applyFont="1" applyFill="1" applyBorder="1" applyAlignment="1" applyProtection="1">
      <alignment horizontal="center" vertical="center" wrapText="1"/>
      <protection hidden="1"/>
    </xf>
    <xf numFmtId="1" fontId="0" fillId="20" borderId="1" xfId="0" applyNumberFormat="1" applyFill="1" applyBorder="1" applyAlignment="1" applyProtection="1">
      <alignment horizontal="center" vertical="center" wrapText="1"/>
      <protection hidden="1"/>
    </xf>
    <xf numFmtId="1" fontId="0" fillId="20" borderId="8" xfId="0" applyNumberFormat="1" applyFill="1" applyBorder="1" applyAlignment="1" applyProtection="1">
      <alignment horizontal="center" vertical="center" wrapText="1"/>
      <protection hidden="1"/>
    </xf>
    <xf numFmtId="49" fontId="32" fillId="20" borderId="52" xfId="0" applyNumberFormat="1" applyFont="1" applyFill="1" applyBorder="1" applyAlignment="1" applyProtection="1">
      <alignment horizontal="center" vertical="center" wrapText="1"/>
      <protection hidden="1"/>
    </xf>
    <xf numFmtId="0" fontId="17" fillId="6" borderId="55" xfId="0" applyFont="1" applyFill="1" applyBorder="1" applyAlignment="1" applyProtection="1">
      <alignment horizontal="center" vertical="center"/>
      <protection hidden="1"/>
    </xf>
    <xf numFmtId="0" fontId="17" fillId="6" borderId="32" xfId="0" applyFont="1" applyFill="1" applyBorder="1" applyAlignment="1" applyProtection="1">
      <alignment horizontal="center" vertical="center"/>
      <protection hidden="1"/>
    </xf>
    <xf numFmtId="0" fontId="17" fillId="6" borderId="23" xfId="0" applyFont="1" applyFill="1" applyBorder="1" applyAlignment="1" applyProtection="1">
      <alignment horizontal="center" vertical="center"/>
      <protection hidden="1"/>
    </xf>
    <xf numFmtId="0" fontId="36" fillId="13" borderId="22" xfId="0" applyFont="1" applyFill="1" applyBorder="1" applyAlignment="1" applyProtection="1">
      <alignment horizontal="center" vertical="center"/>
      <protection hidden="1"/>
    </xf>
    <xf numFmtId="0" fontId="36" fillId="13" borderId="32" xfId="0" applyFont="1" applyFill="1" applyBorder="1" applyAlignment="1" applyProtection="1">
      <alignment horizontal="center" vertical="center"/>
      <protection hidden="1"/>
    </xf>
    <xf numFmtId="0" fontId="36" fillId="13" borderId="23" xfId="0" applyFont="1" applyFill="1" applyBorder="1" applyAlignment="1" applyProtection="1">
      <alignment horizontal="center" vertical="center"/>
      <protection hidden="1"/>
    </xf>
    <xf numFmtId="0" fontId="36" fillId="13" borderId="21" xfId="0" applyFont="1" applyFill="1" applyBorder="1" applyAlignment="1" applyProtection="1">
      <alignment horizontal="center" vertical="center"/>
      <protection hidden="1"/>
    </xf>
    <xf numFmtId="0" fontId="36" fillId="13" borderId="41" xfId="0" applyFont="1" applyFill="1" applyBorder="1" applyAlignment="1" applyProtection="1">
      <alignment horizontal="center" vertical="center"/>
      <protection hidden="1"/>
    </xf>
    <xf numFmtId="0" fontId="36" fillId="13" borderId="6" xfId="0" applyFont="1" applyFill="1" applyBorder="1" applyAlignment="1" applyProtection="1">
      <alignment horizontal="center" vertical="center"/>
      <protection hidden="1"/>
    </xf>
    <xf numFmtId="0" fontId="36" fillId="13" borderId="14" xfId="0" applyFont="1" applyFill="1" applyBorder="1" applyAlignment="1" applyProtection="1">
      <alignment horizontal="center" vertical="center"/>
      <protection hidden="1"/>
    </xf>
    <xf numFmtId="0" fontId="36" fillId="13" borderId="15" xfId="0" applyFont="1" applyFill="1" applyBorder="1" applyAlignment="1" applyProtection="1">
      <alignment horizontal="center" vertical="center"/>
      <protection hidden="1"/>
    </xf>
    <xf numFmtId="0" fontId="30" fillId="6" borderId="14" xfId="0" applyFont="1" applyFill="1" applyBorder="1" applyAlignment="1" applyProtection="1">
      <alignment horizontal="center" vertical="center"/>
      <protection hidden="1"/>
    </xf>
    <xf numFmtId="0" fontId="30" fillId="6" borderId="15" xfId="0" applyFont="1" applyFill="1" applyBorder="1" applyAlignment="1" applyProtection="1">
      <alignment horizontal="center" vertical="center"/>
      <protection hidden="1"/>
    </xf>
    <xf numFmtId="0" fontId="30" fillId="6" borderId="16" xfId="0" applyFont="1" applyFill="1" applyBorder="1" applyAlignment="1" applyProtection="1">
      <alignment horizontal="center" vertical="center"/>
      <protection hidden="1"/>
    </xf>
    <xf numFmtId="0" fontId="31" fillId="13" borderId="14" xfId="0" applyFont="1" applyFill="1" applyBorder="1" applyAlignment="1" applyProtection="1">
      <alignment horizontal="center" vertical="center"/>
      <protection hidden="1"/>
    </xf>
    <xf numFmtId="0" fontId="31" fillId="13" borderId="15" xfId="0" applyFont="1" applyFill="1" applyBorder="1" applyAlignment="1" applyProtection="1">
      <alignment horizontal="center" vertical="center"/>
      <protection hidden="1"/>
    </xf>
    <xf numFmtId="0" fontId="31" fillId="13" borderId="16" xfId="0" applyFont="1" applyFill="1" applyBorder="1" applyAlignment="1" applyProtection="1">
      <alignment horizontal="center" vertical="center"/>
      <protection hidden="1"/>
    </xf>
    <xf numFmtId="0" fontId="6" fillId="6" borderId="40" xfId="0" applyFont="1" applyFill="1" applyBorder="1" applyAlignment="1" applyProtection="1">
      <alignment horizontal="center" vertical="center" wrapText="1"/>
      <protection hidden="1"/>
    </xf>
    <xf numFmtId="0" fontId="6" fillId="6" borderId="12" xfId="0" applyFont="1" applyFill="1" applyBorder="1" applyAlignment="1" applyProtection="1">
      <alignment horizontal="center" vertical="center" wrapText="1"/>
      <protection hidden="1"/>
    </xf>
    <xf numFmtId="3" fontId="32" fillId="24" borderId="55" xfId="0" applyNumberFormat="1" applyFont="1" applyFill="1" applyBorder="1" applyAlignment="1" applyProtection="1">
      <alignment horizontal="center" vertical="center" wrapText="1"/>
      <protection hidden="1"/>
    </xf>
    <xf numFmtId="0" fontId="0" fillId="24" borderId="31" xfId="0" applyFill="1" applyBorder="1" applyAlignment="1" applyProtection="1">
      <alignment horizontal="center" vertical="center" wrapText="1"/>
      <protection hidden="1"/>
    </xf>
    <xf numFmtId="0" fontId="0" fillId="24" borderId="56" xfId="0" applyFill="1" applyBorder="1" applyAlignment="1" applyProtection="1">
      <alignment horizontal="center" vertical="center" wrapText="1"/>
      <protection hidden="1"/>
    </xf>
    <xf numFmtId="3" fontId="32" fillId="17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17" borderId="3" xfId="0" applyFill="1" applyBorder="1" applyAlignment="1" applyProtection="1">
      <alignment horizontal="center" vertical="center" wrapText="1"/>
      <protection hidden="1"/>
    </xf>
    <xf numFmtId="0" fontId="0" fillId="17" borderId="13" xfId="0" applyFill="1" applyBorder="1" applyAlignment="1" applyProtection="1">
      <alignment horizontal="center" vertical="center" wrapText="1"/>
      <protection hidden="1"/>
    </xf>
    <xf numFmtId="168" fontId="32" fillId="17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17" borderId="1" xfId="0" applyFill="1" applyBorder="1" applyAlignment="1" applyProtection="1">
      <alignment horizontal="center" vertical="center" wrapText="1"/>
      <protection hidden="1"/>
    </xf>
    <xf numFmtId="0" fontId="0" fillId="17" borderId="8" xfId="0" applyFill="1" applyBorder="1" applyAlignment="1" applyProtection="1">
      <alignment horizontal="center" vertical="center" wrapText="1"/>
      <protection hidden="1"/>
    </xf>
    <xf numFmtId="14" fontId="32" fillId="17" borderId="43" xfId="0" applyNumberFormat="1" applyFont="1" applyFill="1" applyBorder="1" applyAlignment="1" applyProtection="1">
      <alignment horizontal="center" vertical="center" wrapText="1"/>
      <protection hidden="1"/>
    </xf>
    <xf numFmtId="0" fontId="0" fillId="17" borderId="43" xfId="0" applyFill="1" applyBorder="1" applyAlignment="1" applyProtection="1">
      <alignment horizontal="center" vertical="center" wrapText="1"/>
      <protection hidden="1"/>
    </xf>
    <xf numFmtId="0" fontId="0" fillId="17" borderId="12" xfId="0" applyFill="1" applyBorder="1" applyAlignment="1" applyProtection="1">
      <alignment horizontal="center" vertical="center" wrapText="1"/>
      <protection hidden="1"/>
    </xf>
    <xf numFmtId="49" fontId="32" fillId="24" borderId="55" xfId="0" applyNumberFormat="1" applyFont="1" applyFill="1" applyBorder="1" applyAlignment="1" applyProtection="1">
      <alignment horizontal="center" vertical="center" wrapText="1"/>
      <protection hidden="1"/>
    </xf>
    <xf numFmtId="0" fontId="29" fillId="13" borderId="22" xfId="0" applyFont="1" applyFill="1" applyBorder="1" applyAlignment="1" applyProtection="1">
      <alignment horizontal="center" vertical="center"/>
      <protection hidden="1"/>
    </xf>
    <xf numFmtId="0" fontId="29" fillId="13" borderId="32" xfId="0" applyFont="1" applyFill="1" applyBorder="1" applyAlignment="1" applyProtection="1">
      <alignment horizontal="center" vertical="center"/>
      <protection hidden="1"/>
    </xf>
    <xf numFmtId="0" fontId="29" fillId="13" borderId="23" xfId="0" applyFont="1" applyFill="1" applyBorder="1" applyAlignment="1" applyProtection="1">
      <alignment horizontal="center" vertical="center"/>
      <protection hidden="1"/>
    </xf>
    <xf numFmtId="0" fontId="29" fillId="13" borderId="21" xfId="0" applyFont="1" applyFill="1" applyBorder="1" applyAlignment="1" applyProtection="1">
      <alignment horizontal="center" vertical="center"/>
      <protection hidden="1"/>
    </xf>
    <xf numFmtId="0" fontId="29" fillId="13" borderId="41" xfId="0" applyFont="1" applyFill="1" applyBorder="1" applyAlignment="1" applyProtection="1">
      <alignment horizontal="center" vertical="center"/>
      <protection hidden="1"/>
    </xf>
    <xf numFmtId="0" fontId="29" fillId="13" borderId="6" xfId="0" applyFont="1" applyFill="1" applyBorder="1" applyAlignment="1" applyProtection="1">
      <alignment horizontal="center" vertical="center"/>
      <protection hidden="1"/>
    </xf>
    <xf numFmtId="0" fontId="29" fillId="13" borderId="14" xfId="0" applyFont="1" applyFill="1" applyBorder="1" applyAlignment="1" applyProtection="1">
      <alignment horizontal="center" vertical="center"/>
      <protection hidden="1"/>
    </xf>
    <xf numFmtId="0" fontId="29" fillId="13" borderId="15" xfId="0" applyFont="1" applyFill="1" applyBorder="1" applyAlignment="1" applyProtection="1">
      <alignment horizontal="center" vertical="center"/>
      <protection hidden="1"/>
    </xf>
    <xf numFmtId="0" fontId="29" fillId="13" borderId="16" xfId="0" applyFont="1" applyFill="1" applyBorder="1" applyAlignment="1" applyProtection="1">
      <alignment horizontal="center" vertical="center"/>
      <protection hidden="1"/>
    </xf>
    <xf numFmtId="0" fontId="32" fillId="17" borderId="3" xfId="0" applyFont="1" applyFill="1" applyBorder="1" applyAlignment="1" applyProtection="1">
      <alignment horizontal="center" vertical="center" wrapText="1"/>
      <protection hidden="1"/>
    </xf>
    <xf numFmtId="0" fontId="32" fillId="17" borderId="43" xfId="0" applyFont="1" applyFill="1" applyBorder="1" applyAlignment="1" applyProtection="1">
      <alignment horizontal="center" vertical="center" wrapText="1"/>
      <protection hidden="1"/>
    </xf>
    <xf numFmtId="0" fontId="32" fillId="17" borderId="65" xfId="0" applyFont="1" applyFill="1" applyBorder="1" applyAlignment="1" applyProtection="1">
      <alignment horizontal="center" vertical="center" wrapText="1"/>
      <protection hidden="1"/>
    </xf>
    <xf numFmtId="168" fontId="32" fillId="17" borderId="5" xfId="0" applyNumberFormat="1" applyFont="1" applyFill="1" applyBorder="1" applyAlignment="1" applyProtection="1">
      <alignment horizontal="center" vertical="center" wrapText="1"/>
      <protection hidden="1"/>
    </xf>
    <xf numFmtId="1" fontId="32" fillId="17" borderId="3" xfId="0" applyNumberFormat="1" applyFont="1" applyFill="1" applyBorder="1" applyAlignment="1" applyProtection="1">
      <alignment horizontal="center" vertical="center" wrapText="1"/>
      <protection hidden="1"/>
    </xf>
    <xf numFmtId="1" fontId="0" fillId="17" borderId="3" xfId="0" applyNumberFormat="1" applyFill="1" applyBorder="1" applyAlignment="1" applyProtection="1">
      <alignment horizontal="center" vertical="center" wrapText="1"/>
      <protection hidden="1"/>
    </xf>
    <xf numFmtId="1" fontId="0" fillId="17" borderId="13" xfId="0" applyNumberFormat="1" applyFill="1" applyBorder="1" applyAlignment="1" applyProtection="1">
      <alignment horizontal="center" vertical="center" wrapText="1"/>
      <protection hidden="1"/>
    </xf>
    <xf numFmtId="168" fontId="32" fillId="17" borderId="43" xfId="0" applyNumberFormat="1" applyFont="1" applyFill="1" applyBorder="1" applyAlignment="1" applyProtection="1">
      <alignment horizontal="center" vertical="center" wrapText="1"/>
      <protection hidden="1"/>
    </xf>
    <xf numFmtId="0" fontId="32" fillId="17" borderId="40" xfId="0" applyFont="1" applyFill="1" applyBorder="1" applyAlignment="1" applyProtection="1">
      <alignment horizontal="center" vertical="center" wrapText="1"/>
      <protection hidden="1"/>
    </xf>
    <xf numFmtId="171" fontId="32" fillId="17" borderId="3" xfId="0" applyNumberFormat="1" applyFont="1" applyFill="1" applyBorder="1" applyAlignment="1" applyProtection="1">
      <alignment horizontal="center" vertical="center" wrapText="1"/>
      <protection hidden="1"/>
    </xf>
    <xf numFmtId="171" fontId="0" fillId="17" borderId="3" xfId="0" applyNumberFormat="1" applyFill="1" applyBorder="1" applyAlignment="1" applyProtection="1">
      <alignment horizontal="center" vertical="center" wrapText="1"/>
      <protection hidden="1"/>
    </xf>
    <xf numFmtId="171" fontId="32" fillId="17" borderId="65" xfId="0" applyNumberFormat="1" applyFont="1" applyFill="1" applyBorder="1" applyAlignment="1" applyProtection="1">
      <alignment horizontal="center" vertical="center" wrapText="1"/>
      <protection hidden="1"/>
    </xf>
    <xf numFmtId="168" fontId="32" fillId="17" borderId="33" xfId="0" applyNumberFormat="1" applyFont="1" applyFill="1" applyBorder="1" applyAlignment="1" applyProtection="1">
      <alignment horizontal="center" vertical="center"/>
      <protection hidden="1"/>
    </xf>
    <xf numFmtId="168" fontId="32" fillId="17" borderId="27" xfId="0" applyNumberFormat="1" applyFont="1" applyFill="1" applyBorder="1" applyAlignment="1" applyProtection="1">
      <alignment horizontal="center" vertical="center"/>
      <protection hidden="1"/>
    </xf>
    <xf numFmtId="168" fontId="32" fillId="17" borderId="20" xfId="0" applyNumberFormat="1" applyFont="1" applyFill="1" applyBorder="1" applyAlignment="1" applyProtection="1">
      <alignment horizontal="center" vertical="center"/>
      <protection hidden="1"/>
    </xf>
    <xf numFmtId="168" fontId="32" fillId="17" borderId="50" xfId="0" applyNumberFormat="1" applyFont="1" applyFill="1" applyBorder="1" applyAlignment="1" applyProtection="1">
      <alignment horizontal="center" vertical="center"/>
      <protection hidden="1"/>
    </xf>
    <xf numFmtId="0" fontId="32" fillId="17" borderId="29" xfId="0" applyFont="1" applyFill="1" applyBorder="1" applyAlignment="1" applyProtection="1">
      <alignment horizontal="center" vertical="center"/>
      <protection hidden="1"/>
    </xf>
    <xf numFmtId="0" fontId="32" fillId="17" borderId="30" xfId="0" applyFont="1" applyFill="1" applyBorder="1" applyAlignment="1" applyProtection="1">
      <alignment horizontal="center" vertical="center"/>
      <protection hidden="1"/>
    </xf>
    <xf numFmtId="0" fontId="32" fillId="17" borderId="81" xfId="0" applyFont="1" applyFill="1" applyBorder="1" applyAlignment="1" applyProtection="1">
      <alignment horizontal="center" vertical="center"/>
      <protection hidden="1"/>
    </xf>
    <xf numFmtId="0" fontId="33" fillId="24" borderId="52" xfId="0" applyFont="1" applyFill="1" applyBorder="1" applyAlignment="1" applyProtection="1">
      <alignment horizontal="center" vertical="center"/>
      <protection hidden="1"/>
    </xf>
    <xf numFmtId="0" fontId="33" fillId="24" borderId="27" xfId="0" applyFont="1" applyFill="1" applyBorder="1" applyAlignment="1" applyProtection="1">
      <alignment horizontal="center" vertical="center"/>
      <protection hidden="1"/>
    </xf>
    <xf numFmtId="0" fontId="33" fillId="24" borderId="50" xfId="0" applyFont="1" applyFill="1" applyBorder="1" applyAlignment="1" applyProtection="1">
      <alignment horizontal="center" vertical="center"/>
      <protection hidden="1"/>
    </xf>
    <xf numFmtId="14" fontId="32" fillId="17" borderId="60" xfId="0" applyNumberFormat="1" applyFont="1" applyFill="1" applyBorder="1" applyAlignment="1" applyProtection="1">
      <alignment horizontal="center" vertical="center"/>
      <protection hidden="1"/>
    </xf>
    <xf numFmtId="14" fontId="32" fillId="17" borderId="53" xfId="0" applyNumberFormat="1" applyFont="1" applyFill="1" applyBorder="1" applyAlignment="1" applyProtection="1">
      <alignment horizontal="center" vertical="center"/>
      <protection hidden="1"/>
    </xf>
    <xf numFmtId="14" fontId="32" fillId="17" borderId="45" xfId="0" applyNumberFormat="1" applyFont="1" applyFill="1" applyBorder="1" applyAlignment="1" applyProtection="1">
      <alignment horizontal="center" vertical="center"/>
      <protection hidden="1"/>
    </xf>
    <xf numFmtId="14" fontId="32" fillId="17" borderId="47" xfId="0" applyNumberFormat="1" applyFont="1" applyFill="1" applyBorder="1" applyAlignment="1" applyProtection="1">
      <alignment horizontal="center" vertical="center"/>
      <protection hidden="1"/>
    </xf>
    <xf numFmtId="0" fontId="32" fillId="17" borderId="47" xfId="0" applyFont="1" applyFill="1" applyBorder="1" applyAlignment="1" applyProtection="1">
      <alignment horizontal="center" vertical="center"/>
      <protection hidden="1"/>
    </xf>
    <xf numFmtId="0" fontId="32" fillId="17" borderId="53" xfId="0" applyFont="1" applyFill="1" applyBorder="1" applyAlignment="1" applyProtection="1">
      <alignment horizontal="center" vertical="center"/>
      <protection hidden="1"/>
    </xf>
    <xf numFmtId="0" fontId="32" fillId="17" borderId="51" xfId="0" applyFont="1" applyFill="1" applyBorder="1" applyAlignment="1" applyProtection="1">
      <alignment horizontal="center" vertical="center"/>
      <protection hidden="1"/>
    </xf>
    <xf numFmtId="168" fontId="32" fillId="17" borderId="52" xfId="0" applyNumberFormat="1" applyFont="1" applyFill="1" applyBorder="1" applyAlignment="1" applyProtection="1">
      <alignment horizontal="center" vertical="center"/>
      <protection hidden="1"/>
    </xf>
    <xf numFmtId="0" fontId="32" fillId="17" borderId="80" xfId="0" applyFont="1" applyFill="1" applyBorder="1" applyAlignment="1" applyProtection="1">
      <alignment horizontal="center" vertical="center"/>
      <protection hidden="1"/>
    </xf>
    <xf numFmtId="0" fontId="32" fillId="17" borderId="18" xfId="0" applyFont="1" applyFill="1" applyBorder="1" applyAlignment="1" applyProtection="1">
      <alignment horizontal="center" vertical="center"/>
      <protection hidden="1"/>
    </xf>
    <xf numFmtId="0" fontId="29" fillId="13" borderId="22" xfId="0" applyFont="1" applyFill="1" applyBorder="1" applyAlignment="1" applyProtection="1">
      <alignment horizontal="center" vertical="center" wrapText="1"/>
      <protection hidden="1"/>
    </xf>
    <xf numFmtId="0" fontId="29" fillId="13" borderId="32" xfId="0" applyFont="1" applyFill="1" applyBorder="1" applyAlignment="1" applyProtection="1">
      <alignment horizontal="center" vertical="center" wrapText="1"/>
      <protection hidden="1"/>
    </xf>
    <xf numFmtId="0" fontId="29" fillId="13" borderId="23" xfId="0" applyFont="1" applyFill="1" applyBorder="1" applyAlignment="1" applyProtection="1">
      <alignment horizontal="center" vertical="center" wrapText="1"/>
      <protection hidden="1"/>
    </xf>
    <xf numFmtId="0" fontId="29" fillId="13" borderId="21" xfId="0" applyFont="1" applyFill="1" applyBorder="1" applyAlignment="1" applyProtection="1">
      <alignment horizontal="center" vertical="center" wrapText="1"/>
      <protection hidden="1"/>
    </xf>
    <xf numFmtId="0" fontId="29" fillId="13" borderId="41" xfId="0" applyFont="1" applyFill="1" applyBorder="1" applyAlignment="1" applyProtection="1">
      <alignment horizontal="center" vertical="center" wrapText="1"/>
      <protection hidden="1"/>
    </xf>
    <xf numFmtId="0" fontId="29" fillId="13" borderId="6" xfId="0" applyFont="1" applyFill="1" applyBorder="1" applyAlignment="1" applyProtection="1">
      <alignment horizontal="center" vertical="center" wrapText="1"/>
      <protection hidden="1"/>
    </xf>
    <xf numFmtId="49" fontId="30" fillId="6" borderId="44" xfId="0" applyNumberFormat="1" applyFont="1" applyFill="1" applyBorder="1" applyAlignment="1" applyProtection="1">
      <alignment horizontal="center" vertical="center"/>
      <protection hidden="1"/>
    </xf>
    <xf numFmtId="49" fontId="30" fillId="6" borderId="20" xfId="0" applyNumberFormat="1" applyFont="1" applyFill="1" applyBorder="1" applyAlignment="1" applyProtection="1">
      <alignment horizontal="center" vertical="center" wrapText="1"/>
      <protection hidden="1"/>
    </xf>
    <xf numFmtId="49" fontId="8" fillId="6" borderId="27" xfId="2" applyNumberFormat="1" applyFont="1" applyFill="1" applyBorder="1" applyAlignment="1" applyProtection="1">
      <alignment horizontal="center" vertical="center"/>
      <protection hidden="1"/>
    </xf>
    <xf numFmtId="49" fontId="17" fillId="6" borderId="20" xfId="0" applyNumberFormat="1" applyFont="1" applyFill="1" applyBorder="1" applyAlignment="1" applyProtection="1">
      <alignment horizontal="center" vertical="center" wrapText="1"/>
      <protection hidden="1"/>
    </xf>
    <xf numFmtId="49" fontId="30" fillId="6" borderId="45" xfId="0" applyNumberFormat="1" applyFont="1" applyFill="1" applyBorder="1" applyAlignment="1" applyProtection="1">
      <alignment horizontal="center" vertical="center" wrapText="1"/>
      <protection hidden="1"/>
    </xf>
    <xf numFmtId="49" fontId="30" fillId="6" borderId="4" xfId="2" applyNumberFormat="1" applyFont="1" applyFill="1" applyBorder="1" applyAlignment="1" applyProtection="1">
      <alignment horizontal="center" vertical="center" wrapText="1"/>
      <protection hidden="1"/>
    </xf>
    <xf numFmtId="49" fontId="30" fillId="6" borderId="7" xfId="2" applyNumberFormat="1" applyFont="1" applyFill="1" applyBorder="1" applyAlignment="1" applyProtection="1">
      <alignment horizontal="center" vertical="center" wrapText="1"/>
      <protection hidden="1"/>
    </xf>
    <xf numFmtId="0" fontId="30" fillId="6" borderId="4" xfId="0" applyFont="1" applyFill="1" applyBorder="1" applyAlignment="1" applyProtection="1">
      <alignment horizontal="center" vertical="center" wrapText="1"/>
      <protection hidden="1"/>
    </xf>
    <xf numFmtId="0" fontId="30" fillId="6" borderId="7" xfId="0" applyFont="1" applyFill="1" applyBorder="1" applyAlignment="1" applyProtection="1">
      <alignment horizontal="center" vertical="center" wrapText="1"/>
      <protection hidden="1"/>
    </xf>
    <xf numFmtId="0" fontId="30" fillId="6" borderId="40" xfId="0" applyFont="1" applyFill="1" applyBorder="1" applyAlignment="1" applyProtection="1">
      <alignment horizontal="center" vertical="center" wrapText="1"/>
      <protection hidden="1"/>
    </xf>
    <xf numFmtId="0" fontId="30" fillId="6" borderId="12" xfId="0" applyFont="1" applyFill="1" applyBorder="1" applyAlignment="1" applyProtection="1">
      <alignment horizontal="center" vertical="center" wrapText="1"/>
      <protection hidden="1"/>
    </xf>
    <xf numFmtId="0" fontId="32" fillId="25" borderId="22" xfId="0" applyFont="1" applyFill="1" applyBorder="1" applyAlignment="1" applyProtection="1">
      <alignment horizontal="center" vertical="center"/>
      <protection hidden="1"/>
    </xf>
    <xf numFmtId="0" fontId="32" fillId="25" borderId="24" xfId="0" applyFont="1" applyFill="1" applyBorder="1" applyAlignment="1" applyProtection="1">
      <alignment horizontal="center" vertical="center"/>
      <protection hidden="1"/>
    </xf>
    <xf numFmtId="0" fontId="32" fillId="25" borderId="21" xfId="0" applyFont="1" applyFill="1" applyBorder="1" applyAlignment="1" applyProtection="1">
      <alignment horizontal="center" vertical="center"/>
      <protection hidden="1"/>
    </xf>
    <xf numFmtId="0" fontId="30" fillId="6" borderId="40" xfId="0" applyFont="1" applyFill="1" applyBorder="1" applyAlignment="1" applyProtection="1">
      <alignment horizontal="center" vertical="center"/>
      <protection hidden="1"/>
    </xf>
    <xf numFmtId="0" fontId="30" fillId="6" borderId="47" xfId="0" applyFont="1" applyFill="1" applyBorder="1" applyAlignment="1" applyProtection="1">
      <alignment horizontal="center" vertical="center"/>
      <protection hidden="1"/>
    </xf>
    <xf numFmtId="0" fontId="33" fillId="25" borderId="62" xfId="0" applyFont="1" applyFill="1" applyBorder="1" applyAlignment="1" applyProtection="1">
      <alignment horizontal="center" vertical="center" wrapText="1"/>
      <protection hidden="1"/>
    </xf>
    <xf numFmtId="0" fontId="33" fillId="25" borderId="63" xfId="0" applyFont="1" applyFill="1" applyBorder="1" applyAlignment="1" applyProtection="1">
      <alignment horizontal="center" vertical="center" wrapText="1"/>
      <protection hidden="1"/>
    </xf>
    <xf numFmtId="0" fontId="33" fillId="25" borderId="64" xfId="0" applyFont="1" applyFill="1" applyBorder="1" applyAlignment="1" applyProtection="1">
      <alignment horizontal="center" vertical="center" wrapText="1"/>
      <protection hidden="1"/>
    </xf>
    <xf numFmtId="0" fontId="33" fillId="25" borderId="24" xfId="0" applyFont="1" applyFill="1" applyBorder="1" applyAlignment="1" applyProtection="1">
      <alignment horizontal="center" vertical="center" wrapText="1"/>
      <protection hidden="1"/>
    </xf>
    <xf numFmtId="0" fontId="33" fillId="25" borderId="21" xfId="0" applyFont="1" applyFill="1" applyBorder="1" applyAlignment="1" applyProtection="1">
      <alignment horizontal="center" vertical="center" wrapText="1"/>
      <protection hidden="1"/>
    </xf>
    <xf numFmtId="0" fontId="33" fillId="25" borderId="22" xfId="0" applyFont="1" applyFill="1" applyBorder="1" applyAlignment="1" applyProtection="1">
      <alignment horizontal="center" vertical="center" wrapText="1"/>
      <protection hidden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0" fontId="17" fillId="6" borderId="22" xfId="0" applyFont="1" applyFill="1" applyBorder="1" applyAlignment="1" applyProtection="1">
      <alignment horizontal="center" vertical="center"/>
      <protection hidden="1"/>
    </xf>
    <xf numFmtId="0" fontId="33" fillId="0" borderId="58" xfId="0" applyFont="1" applyBorder="1" applyAlignment="1" applyProtection="1">
      <alignment horizontal="center"/>
      <protection hidden="1"/>
    </xf>
    <xf numFmtId="0" fontId="33" fillId="0" borderId="65" xfId="0" applyFont="1" applyBorder="1" applyAlignment="1" applyProtection="1">
      <alignment horizontal="center"/>
      <protection hidden="1"/>
    </xf>
    <xf numFmtId="0" fontId="32" fillId="0" borderId="58" xfId="0" applyFont="1" applyFill="1" applyBorder="1" applyAlignment="1" applyProtection="1">
      <alignment horizontal="center" vertical="center"/>
      <protection hidden="1"/>
    </xf>
    <xf numFmtId="0" fontId="32" fillId="0" borderId="65" xfId="0" applyFont="1" applyFill="1" applyBorder="1" applyAlignment="1" applyProtection="1">
      <alignment horizontal="center" vertical="center"/>
      <protection hidden="1"/>
    </xf>
    <xf numFmtId="2" fontId="4" fillId="6" borderId="49" xfId="0" applyNumberFormat="1" applyFont="1" applyFill="1" applyBorder="1" applyAlignment="1" applyProtection="1">
      <alignment horizontal="left" vertical="center" wrapText="1"/>
      <protection hidden="1"/>
    </xf>
    <xf numFmtId="2" fontId="4" fillId="6" borderId="50" xfId="0" applyNumberFormat="1" applyFont="1" applyFill="1" applyBorder="1" applyAlignment="1" applyProtection="1">
      <alignment horizontal="left" vertical="center" wrapText="1"/>
      <protection hidden="1"/>
    </xf>
    <xf numFmtId="2" fontId="4" fillId="6" borderId="4" xfId="0" applyNumberFormat="1" applyFont="1" applyFill="1" applyBorder="1" applyAlignment="1" applyProtection="1">
      <alignment horizontal="left" vertical="center" wrapText="1"/>
      <protection hidden="1"/>
    </xf>
    <xf numFmtId="2" fontId="4" fillId="6" borderId="5" xfId="0" applyNumberFormat="1" applyFont="1" applyFill="1" applyBorder="1" applyAlignment="1" applyProtection="1">
      <alignment horizontal="left" vertical="center" wrapText="1"/>
      <protection hidden="1"/>
    </xf>
    <xf numFmtId="2" fontId="18" fillId="6" borderId="38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13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58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65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25" fillId="3" borderId="14" xfId="0" applyNumberFormat="1" applyFont="1" applyFill="1" applyBorder="1" applyAlignment="1" applyProtection="1">
      <alignment horizontal="center" vertical="center"/>
      <protection hidden="1"/>
    </xf>
    <xf numFmtId="2" fontId="25" fillId="3" borderId="15" xfId="0" applyNumberFormat="1" applyFont="1" applyFill="1" applyBorder="1" applyAlignment="1" applyProtection="1">
      <alignment horizontal="center" vertical="center"/>
      <protection hidden="1"/>
    </xf>
    <xf numFmtId="2" fontId="25" fillId="3" borderId="16" xfId="0" applyNumberFormat="1" applyFont="1" applyFill="1" applyBorder="1" applyAlignment="1" applyProtection="1">
      <alignment horizontal="center" vertical="center"/>
      <protection hidden="1"/>
    </xf>
    <xf numFmtId="2" fontId="29" fillId="3" borderId="14" xfId="0" applyNumberFormat="1" applyFont="1" applyFill="1" applyBorder="1" applyAlignment="1" applyProtection="1">
      <alignment horizontal="center" vertical="center"/>
      <protection hidden="1"/>
    </xf>
    <xf numFmtId="2" fontId="29" fillId="3" borderId="15" xfId="0" applyNumberFormat="1" applyFont="1" applyFill="1" applyBorder="1" applyAlignment="1" applyProtection="1">
      <alignment horizontal="center" vertical="center"/>
      <protection hidden="1"/>
    </xf>
    <xf numFmtId="2" fontId="29" fillId="3" borderId="16" xfId="0" applyNumberFormat="1" applyFont="1" applyFill="1" applyBorder="1" applyAlignment="1" applyProtection="1">
      <alignment horizontal="center" vertical="center"/>
      <protection hidden="1"/>
    </xf>
    <xf numFmtId="2" fontId="7" fillId="2" borderId="2" xfId="0" applyNumberFormat="1" applyFont="1" applyFill="1" applyBorder="1" applyAlignment="1" applyProtection="1">
      <alignment horizontal="left" vertical="center"/>
      <protection hidden="1"/>
    </xf>
    <xf numFmtId="2" fontId="7" fillId="2" borderId="19" xfId="0" applyNumberFormat="1" applyFont="1" applyFill="1" applyBorder="1" applyAlignment="1" applyProtection="1">
      <alignment horizontal="left" vertical="center"/>
      <protection hidden="1"/>
    </xf>
    <xf numFmtId="2" fontId="7" fillId="2" borderId="3" xfId="0" applyNumberFormat="1" applyFont="1" applyFill="1" applyBorder="1" applyAlignment="1" applyProtection="1">
      <alignment horizontal="left" vertical="center"/>
      <protection hidden="1"/>
    </xf>
    <xf numFmtId="2" fontId="14" fillId="8" borderId="22" xfId="0" applyNumberFormat="1" applyFont="1" applyFill="1" applyBorder="1" applyAlignment="1" applyProtection="1">
      <alignment horizontal="center" vertical="center"/>
      <protection hidden="1"/>
    </xf>
    <xf numFmtId="2" fontId="14" fillId="8" borderId="32" xfId="0" applyNumberFormat="1" applyFont="1" applyFill="1" applyBorder="1" applyAlignment="1" applyProtection="1">
      <alignment horizontal="center" vertical="center"/>
      <protection hidden="1"/>
    </xf>
    <xf numFmtId="2" fontId="14" fillId="8" borderId="23" xfId="0" applyNumberFormat="1" applyFont="1" applyFill="1" applyBorder="1" applyAlignment="1" applyProtection="1">
      <alignment horizontal="center" vertical="center"/>
      <protection hidden="1"/>
    </xf>
    <xf numFmtId="2" fontId="29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29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29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29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29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29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17" fillId="6" borderId="9" xfId="0" applyNumberFormat="1" applyFont="1" applyFill="1" applyBorder="1" applyAlignment="1" applyProtection="1">
      <alignment horizontal="center" vertical="center"/>
      <protection hidden="1"/>
    </xf>
    <xf numFmtId="2" fontId="17" fillId="6" borderId="10" xfId="0" applyNumberFormat="1" applyFont="1" applyFill="1" applyBorder="1" applyAlignment="1" applyProtection="1">
      <alignment horizontal="center" vertical="center"/>
      <protection hidden="1"/>
    </xf>
    <xf numFmtId="2" fontId="17" fillId="6" borderId="11" xfId="0" applyNumberFormat="1" applyFont="1" applyFill="1" applyBorder="1" applyAlignment="1" applyProtection="1">
      <alignment horizontal="center" vertical="center"/>
      <protection hidden="1"/>
    </xf>
    <xf numFmtId="2" fontId="13" fillId="6" borderId="2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19" xfId="0" applyNumberFormat="1" applyFont="1" applyFill="1" applyBorder="1" applyAlignment="1" applyProtection="1">
      <alignment horizontal="center" vertical="center"/>
      <protection hidden="1"/>
    </xf>
    <xf numFmtId="2" fontId="7" fillId="6" borderId="3" xfId="0" applyNumberFormat="1" applyFont="1" applyFill="1" applyBorder="1" applyAlignment="1" applyProtection="1">
      <alignment horizontal="center" vertical="center"/>
      <protection hidden="1"/>
    </xf>
    <xf numFmtId="2" fontId="7" fillId="6" borderId="19" xfId="0" applyNumberFormat="1" applyFont="1" applyFill="1" applyBorder="1" applyAlignment="1" applyProtection="1">
      <alignment horizontal="center"/>
      <protection hidden="1"/>
    </xf>
    <xf numFmtId="2" fontId="7" fillId="6" borderId="68" xfId="0" applyNumberFormat="1" applyFont="1" applyFill="1" applyBorder="1" applyAlignment="1" applyProtection="1">
      <alignment horizontal="center"/>
      <protection hidden="1"/>
    </xf>
    <xf numFmtId="2" fontId="13" fillId="6" borderId="14" xfId="0" applyNumberFormat="1" applyFont="1" applyFill="1" applyBorder="1" applyAlignment="1" applyProtection="1">
      <alignment horizontal="center" vertical="center"/>
      <protection hidden="1"/>
    </xf>
    <xf numFmtId="2" fontId="13" fillId="6" borderId="15" xfId="0" applyNumberFormat="1" applyFont="1" applyFill="1" applyBorder="1" applyAlignment="1" applyProtection="1">
      <alignment horizontal="center" vertical="center"/>
      <protection hidden="1"/>
    </xf>
    <xf numFmtId="2" fontId="13" fillId="6" borderId="16" xfId="0" applyNumberFormat="1" applyFont="1" applyFill="1" applyBorder="1" applyAlignment="1" applyProtection="1">
      <alignment horizontal="center" vertical="center"/>
      <protection hidden="1"/>
    </xf>
    <xf numFmtId="2" fontId="7" fillId="6" borderId="61" xfId="0" applyNumberFormat="1" applyFont="1" applyFill="1" applyBorder="1" applyAlignment="1" applyProtection="1">
      <alignment horizontal="center" vertical="center"/>
      <protection hidden="1"/>
    </xf>
    <xf numFmtId="2" fontId="7" fillId="6" borderId="69" xfId="0" applyNumberFormat="1" applyFont="1" applyFill="1" applyBorder="1" applyAlignment="1" applyProtection="1">
      <alignment horizontal="center" vertical="center"/>
      <protection hidden="1"/>
    </xf>
    <xf numFmtId="2" fontId="14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14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14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13" fillId="9" borderId="14" xfId="0" applyNumberFormat="1" applyFont="1" applyFill="1" applyBorder="1" applyAlignment="1" applyProtection="1">
      <alignment horizontal="left" vertical="center" wrapText="1"/>
      <protection hidden="1"/>
    </xf>
    <xf numFmtId="2" fontId="13" fillId="9" borderId="16" xfId="0" applyNumberFormat="1" applyFont="1" applyFill="1" applyBorder="1" applyAlignment="1" applyProtection="1">
      <alignment horizontal="left" vertical="center" wrapText="1"/>
      <protection hidden="1"/>
    </xf>
    <xf numFmtId="2" fontId="18" fillId="9" borderId="14" xfId="0" applyNumberFormat="1" applyFont="1" applyFill="1" applyBorder="1" applyAlignment="1" applyProtection="1">
      <alignment horizontal="left" vertical="center" wrapText="1"/>
      <protection hidden="1"/>
    </xf>
    <xf numFmtId="2" fontId="18" fillId="9" borderId="16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62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78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67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63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19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28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77" xfId="0" applyNumberFormat="1" applyFont="1" applyFill="1" applyBorder="1" applyAlignment="1" applyProtection="1">
      <alignment horizontal="left" vertical="center" wrapText="1"/>
      <protection hidden="1"/>
    </xf>
    <xf numFmtId="2" fontId="9" fillId="6" borderId="9" xfId="0" applyNumberFormat="1" applyFont="1" applyFill="1" applyBorder="1" applyAlignment="1" applyProtection="1">
      <alignment horizontal="center" vertical="center" wrapText="1"/>
      <protection hidden="1"/>
    </xf>
    <xf numFmtId="2" fontId="9" fillId="6" borderId="11" xfId="0" applyNumberFormat="1" applyFont="1" applyFill="1" applyBorder="1" applyAlignment="1" applyProtection="1">
      <alignment horizontal="center" vertical="center" wrapText="1"/>
      <protection hidden="1"/>
    </xf>
    <xf numFmtId="2" fontId="8" fillId="6" borderId="9" xfId="0" applyNumberFormat="1" applyFont="1" applyFill="1" applyBorder="1" applyAlignment="1" applyProtection="1">
      <alignment horizontal="center" vertical="center"/>
      <protection hidden="1"/>
    </xf>
    <xf numFmtId="2" fontId="8" fillId="6" borderId="10" xfId="0" applyNumberFormat="1" applyFont="1" applyFill="1" applyBorder="1" applyAlignment="1" applyProtection="1">
      <alignment horizontal="center" vertical="center"/>
      <protection hidden="1"/>
    </xf>
    <xf numFmtId="2" fontId="8" fillId="6" borderId="11" xfId="0" applyNumberFormat="1" applyFont="1" applyFill="1" applyBorder="1" applyAlignment="1" applyProtection="1">
      <alignment horizontal="center" vertical="center"/>
      <protection hidden="1"/>
    </xf>
    <xf numFmtId="0" fontId="4" fillId="18" borderId="8" xfId="0" applyFont="1" applyFill="1" applyBorder="1" applyAlignment="1" applyProtection="1">
      <alignment horizontal="center" vertical="center" wrapText="1"/>
      <protection hidden="1"/>
    </xf>
    <xf numFmtId="2" fontId="29" fillId="3" borderId="22" xfId="0" applyNumberFormat="1" applyFont="1" applyFill="1" applyBorder="1" applyAlignment="1" applyProtection="1">
      <alignment horizontal="center" vertical="center"/>
      <protection hidden="1"/>
    </xf>
    <xf numFmtId="2" fontId="29" fillId="3" borderId="32" xfId="0" applyNumberFormat="1" applyFont="1" applyFill="1" applyBorder="1" applyAlignment="1" applyProtection="1">
      <alignment horizontal="center" vertical="center"/>
      <protection hidden="1"/>
    </xf>
    <xf numFmtId="2" fontId="29" fillId="3" borderId="23" xfId="0" applyNumberFormat="1" applyFont="1" applyFill="1" applyBorder="1" applyAlignment="1" applyProtection="1">
      <alignment horizontal="center" vertical="center"/>
      <protection hidden="1"/>
    </xf>
    <xf numFmtId="2" fontId="14" fillId="8" borderId="14" xfId="0" applyNumberFormat="1" applyFont="1" applyFill="1" applyBorder="1" applyAlignment="1" applyProtection="1">
      <alignment horizontal="center" vertical="center"/>
      <protection hidden="1"/>
    </xf>
    <xf numFmtId="2" fontId="14" fillId="8" borderId="16" xfId="0" applyNumberFormat="1" applyFont="1" applyFill="1" applyBorder="1" applyAlignment="1" applyProtection="1">
      <alignment horizontal="center" vertical="center"/>
      <protection hidden="1"/>
    </xf>
    <xf numFmtId="2" fontId="29" fillId="3" borderId="24" xfId="0" applyNumberFormat="1" applyFont="1" applyFill="1" applyBorder="1" applyAlignment="1" applyProtection="1">
      <alignment horizontal="center" vertical="center"/>
      <protection hidden="1"/>
    </xf>
    <xf numFmtId="2" fontId="29" fillId="3" borderId="0" xfId="0" applyNumberFormat="1" applyFont="1" applyFill="1" applyBorder="1" applyAlignment="1" applyProtection="1">
      <alignment horizontal="center" vertical="center"/>
      <protection hidden="1"/>
    </xf>
    <xf numFmtId="2" fontId="29" fillId="3" borderId="39" xfId="0" applyNumberFormat="1" applyFont="1" applyFill="1" applyBorder="1" applyAlignment="1" applyProtection="1">
      <alignment horizontal="center" vertical="center"/>
      <protection hidden="1"/>
    </xf>
    <xf numFmtId="2" fontId="13" fillId="6" borderId="64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61" xfId="0" applyNumberFormat="1" applyFont="1" applyFill="1" applyBorder="1" applyAlignment="1" applyProtection="1">
      <alignment horizontal="left" vertical="center" wrapText="1"/>
      <protection hidden="1"/>
    </xf>
    <xf numFmtId="2" fontId="7" fillId="2" borderId="17" xfId="0" applyNumberFormat="1" applyFont="1" applyFill="1" applyBorder="1" applyAlignment="1" applyProtection="1">
      <alignment horizontal="left" vertical="center" wrapText="1"/>
      <protection hidden="1"/>
    </xf>
    <xf numFmtId="2" fontId="7" fillId="2" borderId="25" xfId="0" applyNumberFormat="1" applyFont="1" applyFill="1" applyBorder="1" applyAlignment="1" applyProtection="1">
      <alignment horizontal="left" vertical="center" wrapText="1"/>
      <protection hidden="1"/>
    </xf>
    <xf numFmtId="2" fontId="7" fillId="2" borderId="18" xfId="0" applyNumberFormat="1" applyFont="1" applyFill="1" applyBorder="1" applyAlignment="1" applyProtection="1">
      <alignment horizontal="left" vertical="center" wrapText="1"/>
      <protection hidden="1"/>
    </xf>
    <xf numFmtId="2" fontId="31" fillId="8" borderId="14" xfId="0" applyNumberFormat="1" applyFont="1" applyFill="1" applyBorder="1" applyAlignment="1" applyProtection="1">
      <alignment horizontal="center" vertical="center"/>
      <protection hidden="1"/>
    </xf>
    <xf numFmtId="2" fontId="31" fillId="8" borderId="15" xfId="0" applyNumberFormat="1" applyFont="1" applyFill="1" applyBorder="1" applyAlignment="1" applyProtection="1">
      <alignment horizontal="center" vertical="center"/>
      <protection hidden="1"/>
    </xf>
    <xf numFmtId="2" fontId="31" fillId="8" borderId="16" xfId="0" applyNumberFormat="1" applyFont="1" applyFill="1" applyBorder="1" applyAlignment="1" applyProtection="1">
      <alignment horizontal="center" vertical="center"/>
      <protection hidden="1"/>
    </xf>
    <xf numFmtId="2" fontId="18" fillId="6" borderId="60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51" xfId="0" applyNumberFormat="1" applyFont="1" applyFill="1" applyBorder="1" applyAlignment="1" applyProtection="1">
      <alignment horizontal="center" vertical="center" wrapText="1"/>
      <protection hidden="1"/>
    </xf>
    <xf numFmtId="2" fontId="21" fillId="3" borderId="14" xfId="0" applyNumberFormat="1" applyFont="1" applyFill="1" applyBorder="1" applyAlignment="1" applyProtection="1">
      <alignment horizontal="center" vertical="center"/>
      <protection hidden="1"/>
    </xf>
    <xf numFmtId="2" fontId="21" fillId="3" borderId="15" xfId="0" applyNumberFormat="1" applyFont="1" applyFill="1" applyBorder="1" applyAlignment="1" applyProtection="1">
      <alignment horizontal="center" vertical="center"/>
      <protection hidden="1"/>
    </xf>
    <xf numFmtId="2" fontId="8" fillId="6" borderId="42" xfId="2" applyNumberFormat="1" applyFont="1" applyFill="1" applyBorder="1" applyAlignment="1" applyProtection="1">
      <alignment horizontal="center" vertical="center"/>
      <protection hidden="1"/>
    </xf>
    <xf numFmtId="2" fontId="8" fillId="6" borderId="1" xfId="2" applyNumberFormat="1" applyFont="1" applyFill="1" applyBorder="1" applyAlignment="1" applyProtection="1">
      <alignment horizontal="center" vertical="center"/>
      <protection hidden="1"/>
    </xf>
    <xf numFmtId="2" fontId="8" fillId="6" borderId="64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3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7" xfId="2" applyNumberFormat="1" applyFont="1" applyFill="1" applyBorder="1" applyAlignment="1" applyProtection="1">
      <alignment horizontal="center" vertical="center"/>
      <protection hidden="1"/>
    </xf>
    <xf numFmtId="2" fontId="8" fillId="6" borderId="8" xfId="2" applyNumberFormat="1" applyFont="1" applyFill="1" applyBorder="1" applyAlignment="1" applyProtection="1">
      <alignment horizontal="center" vertical="center"/>
      <protection hidden="1"/>
    </xf>
    <xf numFmtId="2" fontId="7" fillId="9" borderId="38" xfId="0" applyNumberFormat="1" applyFont="1" applyFill="1" applyBorder="1" applyAlignment="1" applyProtection="1">
      <alignment horizontal="center" vertical="center"/>
      <protection hidden="1"/>
    </xf>
    <xf numFmtId="2" fontId="7" fillId="9" borderId="69" xfId="0" applyNumberFormat="1" applyFont="1" applyFill="1" applyBorder="1" applyAlignment="1" applyProtection="1">
      <alignment horizontal="center" vertical="center"/>
      <protection hidden="1"/>
    </xf>
    <xf numFmtId="2" fontId="9" fillId="6" borderId="5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8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40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1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9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0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1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4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7" xfId="2" applyNumberFormat="1" applyFont="1" applyFill="1" applyBorder="1" applyAlignment="1" applyProtection="1">
      <alignment horizontal="center" vertical="center" wrapText="1"/>
      <protection hidden="1"/>
    </xf>
    <xf numFmtId="2" fontId="5" fillId="14" borderId="34" xfId="3" applyBorder="1" applyAlignment="1" applyProtection="1">
      <alignment horizontal="center" vertical="center"/>
      <protection locked="0" hidden="1"/>
    </xf>
    <xf numFmtId="2" fontId="5" fillId="14" borderId="35" xfId="3" applyBorder="1" applyAlignment="1" applyProtection="1">
      <alignment horizontal="center" vertical="center"/>
      <protection locked="0" hidden="1"/>
    </xf>
    <xf numFmtId="2" fontId="8" fillId="6" borderId="2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3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21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1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22" xfId="2" applyNumberFormat="1" applyFont="1" applyFill="1" applyBorder="1" applyAlignment="1" applyProtection="1">
      <alignment horizontal="center"/>
      <protection hidden="1"/>
    </xf>
    <xf numFmtId="2" fontId="8" fillId="6" borderId="24" xfId="2" applyNumberFormat="1" applyFont="1" applyFill="1" applyBorder="1" applyAlignment="1" applyProtection="1">
      <alignment horizontal="center"/>
      <protection hidden="1"/>
    </xf>
    <xf numFmtId="2" fontId="8" fillId="6" borderId="23" xfId="2" applyNumberFormat="1" applyFont="1" applyFill="1" applyBorder="1" applyAlignment="1" applyProtection="1">
      <alignment horizontal="center"/>
      <protection hidden="1"/>
    </xf>
    <xf numFmtId="2" fontId="8" fillId="6" borderId="0" xfId="2" applyNumberFormat="1" applyFont="1" applyFill="1" applyBorder="1" applyAlignment="1" applyProtection="1">
      <alignment horizontal="center"/>
      <protection hidden="1"/>
    </xf>
    <xf numFmtId="2" fontId="7" fillId="6" borderId="14" xfId="0" applyNumberFormat="1" applyFont="1" applyFill="1" applyBorder="1" applyAlignment="1" applyProtection="1">
      <alignment horizontal="center" vertical="center"/>
      <protection hidden="1"/>
    </xf>
    <xf numFmtId="2" fontId="7" fillId="6" borderId="15" xfId="0" applyNumberFormat="1" applyFont="1" applyFill="1" applyBorder="1" applyAlignment="1" applyProtection="1">
      <alignment horizontal="center" vertical="center"/>
      <protection hidden="1"/>
    </xf>
    <xf numFmtId="2" fontId="41" fillId="6" borderId="7" xfId="0" applyNumberFormat="1" applyFont="1" applyFill="1" applyBorder="1" applyAlignment="1" applyProtection="1">
      <alignment horizontal="left" vertical="center" wrapText="1"/>
      <protection hidden="1"/>
    </xf>
    <xf numFmtId="2" fontId="41" fillId="6" borderId="8" xfId="0" applyNumberFormat="1" applyFont="1" applyFill="1" applyBorder="1" applyAlignment="1" applyProtection="1">
      <alignment horizontal="left" vertical="center" wrapText="1"/>
      <protection hidden="1"/>
    </xf>
    <xf numFmtId="2" fontId="8" fillId="6" borderId="63" xfId="2" applyNumberFormat="1" applyFont="1" applyFill="1" applyBorder="1" applyAlignment="1" applyProtection="1">
      <alignment horizontal="center" vertical="center"/>
      <protection hidden="1"/>
    </xf>
    <xf numFmtId="2" fontId="8" fillId="6" borderId="3" xfId="2" applyNumberFormat="1" applyFont="1" applyFill="1" applyBorder="1" applyAlignment="1" applyProtection="1">
      <alignment horizontal="center" vertical="center"/>
      <protection hidden="1"/>
    </xf>
    <xf numFmtId="2" fontId="8" fillId="6" borderId="63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3" xfId="2" applyNumberFormat="1" applyFont="1" applyFill="1" applyBorder="1" applyAlignment="1" applyProtection="1">
      <alignment horizontal="center" vertical="center" wrapText="1"/>
      <protection hidden="1"/>
    </xf>
    <xf numFmtId="2" fontId="13" fillId="6" borderId="63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62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78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61" xfId="0" applyFont="1" applyFill="1" applyBorder="1" applyAlignment="1" applyProtection="1">
      <alignment horizontal="center"/>
      <protection hidden="1"/>
    </xf>
    <xf numFmtId="0" fontId="9" fillId="6" borderId="78" xfId="0" applyFont="1" applyFill="1" applyBorder="1" applyAlignment="1" applyProtection="1">
      <alignment horizontal="center"/>
      <protection hidden="1"/>
    </xf>
    <xf numFmtId="0" fontId="9" fillId="6" borderId="19" xfId="0" applyFont="1" applyFill="1" applyBorder="1" applyAlignment="1" applyProtection="1">
      <alignment horizontal="center"/>
      <protection hidden="1"/>
    </xf>
    <xf numFmtId="2" fontId="29" fillId="3" borderId="21" xfId="0" applyNumberFormat="1" applyFont="1" applyFill="1" applyBorder="1" applyAlignment="1" applyProtection="1">
      <alignment horizontal="center" vertical="center"/>
      <protection hidden="1"/>
    </xf>
    <xf numFmtId="2" fontId="29" fillId="3" borderId="41" xfId="0" applyNumberFormat="1" applyFont="1" applyFill="1" applyBorder="1" applyAlignment="1" applyProtection="1">
      <alignment horizontal="center" vertical="center"/>
      <protection hidden="1"/>
    </xf>
    <xf numFmtId="2" fontId="29" fillId="3" borderId="6" xfId="0" applyNumberFormat="1" applyFont="1" applyFill="1" applyBorder="1" applyAlignment="1" applyProtection="1">
      <alignment horizontal="center" vertical="center"/>
      <protection hidden="1"/>
    </xf>
    <xf numFmtId="2" fontId="7" fillId="6" borderId="61" xfId="0" applyNumberFormat="1" applyFont="1" applyFill="1" applyBorder="1" applyAlignment="1" applyProtection="1">
      <alignment horizontal="center"/>
      <protection hidden="1"/>
    </xf>
    <xf numFmtId="2" fontId="7" fillId="6" borderId="69" xfId="0" applyNumberFormat="1" applyFont="1" applyFill="1" applyBorder="1" applyAlignment="1" applyProtection="1">
      <alignment horizontal="center"/>
      <protection hidden="1"/>
    </xf>
    <xf numFmtId="2" fontId="7" fillId="6" borderId="9" xfId="0" applyNumberFormat="1" applyFont="1" applyFill="1" applyBorder="1" applyAlignment="1" applyProtection="1">
      <alignment horizontal="center"/>
      <protection hidden="1"/>
    </xf>
    <xf numFmtId="2" fontId="7" fillId="6" borderId="10" xfId="0" applyNumberFormat="1" applyFont="1" applyFill="1" applyBorder="1" applyAlignment="1" applyProtection="1">
      <alignment horizontal="center"/>
      <protection hidden="1"/>
    </xf>
    <xf numFmtId="2" fontId="7" fillId="6" borderId="11" xfId="0" applyNumberFormat="1" applyFont="1" applyFill="1" applyBorder="1" applyAlignment="1" applyProtection="1">
      <alignment horizontal="center"/>
      <protection hidden="1"/>
    </xf>
    <xf numFmtId="2" fontId="13" fillId="6" borderId="64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61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24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0" xfId="0" applyNumberFormat="1" applyFont="1" applyFill="1" applyBorder="1" applyAlignment="1" applyProtection="1">
      <alignment horizontal="left" vertical="center" wrapText="1"/>
      <protection hidden="1"/>
    </xf>
    <xf numFmtId="2" fontId="7" fillId="6" borderId="78" xfId="0" applyNumberFormat="1" applyFont="1" applyFill="1" applyBorder="1" applyAlignment="1" applyProtection="1">
      <alignment horizontal="center"/>
      <protection hidden="1"/>
    </xf>
    <xf numFmtId="2" fontId="7" fillId="6" borderId="67" xfId="0" applyNumberFormat="1" applyFont="1" applyFill="1" applyBorder="1" applyAlignment="1" applyProtection="1">
      <alignment horizontal="center"/>
      <protection hidden="1"/>
    </xf>
    <xf numFmtId="2" fontId="13" fillId="12" borderId="7" xfId="0" applyNumberFormat="1" applyFont="1" applyFill="1" applyBorder="1" applyAlignment="1" applyProtection="1">
      <alignment horizontal="center" vertical="center"/>
      <protection hidden="1"/>
    </xf>
    <xf numFmtId="2" fontId="13" fillId="12" borderId="8" xfId="0" applyNumberFormat="1" applyFont="1" applyFill="1" applyBorder="1" applyAlignment="1" applyProtection="1">
      <alignment horizontal="center" vertical="center"/>
      <protection hidden="1"/>
    </xf>
    <xf numFmtId="2" fontId="13" fillId="12" borderId="12" xfId="0" applyNumberFormat="1" applyFont="1" applyFill="1" applyBorder="1" applyAlignment="1" applyProtection="1">
      <alignment horizontal="center" vertical="center"/>
      <protection hidden="1"/>
    </xf>
    <xf numFmtId="2" fontId="7" fillId="14" borderId="14" xfId="3" applyFont="1" applyBorder="1" applyAlignment="1" applyProtection="1">
      <alignment horizontal="center" vertical="center" wrapText="1"/>
      <protection locked="0" hidden="1"/>
    </xf>
    <xf numFmtId="2" fontId="7" fillId="14" borderId="16" xfId="3" applyFont="1" applyBorder="1" applyAlignment="1" applyProtection="1">
      <alignment horizontal="center" vertical="center" wrapText="1"/>
      <protection locked="0" hidden="1"/>
    </xf>
    <xf numFmtId="2" fontId="14" fillId="3" borderId="14" xfId="0" applyNumberFormat="1" applyFont="1" applyFill="1" applyBorder="1" applyAlignment="1" applyProtection="1">
      <alignment horizontal="center" vertical="center"/>
      <protection hidden="1"/>
    </xf>
    <xf numFmtId="2" fontId="14" fillId="3" borderId="15" xfId="0" applyNumberFormat="1" applyFont="1" applyFill="1" applyBorder="1" applyAlignment="1" applyProtection="1">
      <alignment horizontal="center" vertical="center"/>
      <protection hidden="1"/>
    </xf>
    <xf numFmtId="2" fontId="7" fillId="6" borderId="2" xfId="0" applyNumberFormat="1" applyFont="1" applyFill="1" applyBorder="1" applyAlignment="1" applyProtection="1">
      <alignment horizontal="center"/>
      <protection hidden="1"/>
    </xf>
    <xf numFmtId="2" fontId="7" fillId="6" borderId="3" xfId="0" applyNumberFormat="1" applyFont="1" applyFill="1" applyBorder="1" applyAlignment="1" applyProtection="1">
      <alignment horizontal="center"/>
      <protection hidden="1"/>
    </xf>
    <xf numFmtId="1" fontId="5" fillId="14" borderId="34" xfId="3" applyNumberFormat="1" applyFont="1" applyBorder="1" applyAlignment="1" applyProtection="1">
      <alignment horizontal="center" vertical="center" wrapText="1"/>
      <protection locked="0" hidden="1"/>
    </xf>
    <xf numFmtId="1" fontId="5" fillId="14" borderId="35" xfId="3" applyNumberFormat="1" applyFont="1" applyBorder="1" applyAlignment="1" applyProtection="1">
      <alignment horizontal="center" vertical="center" wrapText="1"/>
      <protection locked="0" hidden="1"/>
    </xf>
    <xf numFmtId="2" fontId="7" fillId="0" borderId="26" xfId="0" applyNumberFormat="1" applyFont="1" applyBorder="1" applyAlignment="1" applyProtection="1">
      <alignment horizontal="center"/>
      <protection hidden="1"/>
    </xf>
    <xf numFmtId="2" fontId="7" fillId="0" borderId="29" xfId="0" applyNumberFormat="1" applyFont="1" applyBorder="1" applyAlignment="1" applyProtection="1">
      <alignment horizontal="center"/>
      <protection hidden="1"/>
    </xf>
    <xf numFmtId="2" fontId="7" fillId="0" borderId="31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2" fontId="7" fillId="0" borderId="17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2" fontId="9" fillId="6" borderId="59" xfId="0" applyNumberFormat="1" applyFont="1" applyFill="1" applyBorder="1" applyAlignment="1" applyProtection="1">
      <alignment horizontal="center" vertical="center"/>
      <protection hidden="1"/>
    </xf>
    <xf numFmtId="2" fontId="9" fillId="6" borderId="52" xfId="0" applyNumberFormat="1" applyFont="1" applyFill="1" applyBorder="1" applyAlignment="1" applyProtection="1">
      <alignment horizontal="center" vertical="center"/>
      <protection hidden="1"/>
    </xf>
    <xf numFmtId="2" fontId="9" fillId="6" borderId="60" xfId="0" applyNumberFormat="1" applyFont="1" applyFill="1" applyBorder="1" applyAlignment="1" applyProtection="1">
      <alignment horizontal="center" vertical="center"/>
      <protection hidden="1"/>
    </xf>
    <xf numFmtId="2" fontId="8" fillId="6" borderId="2" xfId="2" applyNumberFormat="1" applyFont="1" applyFill="1" applyBorder="1" applyAlignment="1" applyProtection="1">
      <alignment horizontal="center" vertical="center"/>
      <protection hidden="1"/>
    </xf>
    <xf numFmtId="2" fontId="7" fillId="9" borderId="5" xfId="0" applyNumberFormat="1" applyFont="1" applyFill="1" applyBorder="1" applyAlignment="1" applyProtection="1">
      <alignment horizontal="center" vertical="center"/>
      <protection hidden="1"/>
    </xf>
    <xf numFmtId="2" fontId="7" fillId="9" borderId="40" xfId="0" applyNumberFormat="1" applyFont="1" applyFill="1" applyBorder="1" applyAlignment="1" applyProtection="1">
      <alignment horizontal="center" vertical="center"/>
      <protection hidden="1"/>
    </xf>
    <xf numFmtId="2" fontId="13" fillId="6" borderId="4" xfId="0" applyNumberFormat="1" applyFont="1" applyFill="1" applyBorder="1" applyAlignment="1" applyProtection="1">
      <alignment horizontal="center" vertical="center"/>
      <protection hidden="1"/>
    </xf>
    <xf numFmtId="2" fontId="13" fillId="6" borderId="5" xfId="0" applyNumberFormat="1" applyFont="1" applyFill="1" applyBorder="1" applyAlignment="1" applyProtection="1">
      <alignment horizontal="center" vertical="center"/>
      <protection hidden="1"/>
    </xf>
    <xf numFmtId="2" fontId="28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28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30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25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2" fontId="8" fillId="6" borderId="4" xfId="2" applyNumberFormat="1" applyFont="1" applyFill="1" applyBorder="1" applyAlignment="1" applyProtection="1">
      <alignment horizontal="center" vertical="center"/>
      <protection hidden="1"/>
    </xf>
    <xf numFmtId="2" fontId="8" fillId="6" borderId="5" xfId="2" applyNumberFormat="1" applyFont="1" applyFill="1" applyBorder="1" applyAlignment="1" applyProtection="1">
      <alignment horizontal="center" vertical="center"/>
      <protection hidden="1"/>
    </xf>
    <xf numFmtId="2" fontId="7" fillId="9" borderId="2" xfId="0" applyNumberFormat="1" applyFont="1" applyFill="1" applyBorder="1" applyAlignment="1" applyProtection="1">
      <alignment horizontal="center" vertical="center"/>
      <protection hidden="1"/>
    </xf>
    <xf numFmtId="2" fontId="7" fillId="9" borderId="68" xfId="0" applyNumberFormat="1" applyFont="1" applyFill="1" applyBorder="1" applyAlignment="1" applyProtection="1">
      <alignment horizontal="center" vertical="center"/>
      <protection hidden="1"/>
    </xf>
    <xf numFmtId="168" fontId="7" fillId="9" borderId="2" xfId="0" applyNumberFormat="1" applyFont="1" applyFill="1" applyBorder="1" applyAlignment="1" applyProtection="1">
      <alignment horizontal="center" vertical="center"/>
      <protection hidden="1"/>
    </xf>
    <xf numFmtId="168" fontId="7" fillId="9" borderId="68" xfId="0" applyNumberFormat="1" applyFont="1" applyFill="1" applyBorder="1" applyAlignment="1" applyProtection="1">
      <alignment horizontal="center" vertical="center"/>
      <protection hidden="1"/>
    </xf>
    <xf numFmtId="0" fontId="10" fillId="3" borderId="22" xfId="0" applyFont="1" applyFill="1" applyBorder="1" applyAlignment="1" applyProtection="1">
      <alignment horizontal="center" vertical="center"/>
      <protection hidden="1"/>
    </xf>
    <xf numFmtId="0" fontId="10" fillId="3" borderId="32" xfId="0" applyFont="1" applyFill="1" applyBorder="1" applyAlignment="1" applyProtection="1">
      <alignment horizontal="center" vertical="center"/>
      <protection hidden="1"/>
    </xf>
    <xf numFmtId="0" fontId="10" fillId="3" borderId="23" xfId="0" applyFont="1" applyFill="1" applyBorder="1" applyAlignment="1" applyProtection="1">
      <alignment horizontal="center" vertical="center"/>
      <protection hidden="1"/>
    </xf>
    <xf numFmtId="1" fontId="7" fillId="9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38" fillId="3" borderId="7" xfId="0" applyFont="1" applyFill="1" applyBorder="1" applyAlignment="1" applyProtection="1">
      <alignment horizontal="center" vertical="center" wrapText="1"/>
      <protection hidden="1"/>
    </xf>
    <xf numFmtId="0" fontId="38" fillId="3" borderId="8" xfId="0" applyFont="1" applyFill="1" applyBorder="1" applyAlignment="1" applyProtection="1">
      <alignment horizontal="center" vertical="center" wrapText="1"/>
      <protection hidden="1"/>
    </xf>
    <xf numFmtId="2" fontId="8" fillId="6" borderId="4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0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3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7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2" xfId="2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0" applyFont="1" applyBorder="1" applyAlignment="1" applyProtection="1">
      <alignment horizontal="justify" vertical="center" wrapText="1"/>
      <protection hidden="1"/>
    </xf>
    <xf numFmtId="0" fontId="30" fillId="0" borderId="0" xfId="0" applyFont="1" applyAlignment="1" applyProtection="1">
      <alignment horizontal="left" vertical="center" wrapText="1"/>
      <protection hidden="1"/>
    </xf>
    <xf numFmtId="0" fontId="56" fillId="0" borderId="0" xfId="0" applyFont="1" applyBorder="1" applyAlignment="1" applyProtection="1">
      <alignment horizontal="justify" vertical="justify" wrapText="1"/>
      <protection hidden="1"/>
    </xf>
    <xf numFmtId="0" fontId="33" fillId="0" borderId="24" xfId="0" applyFont="1" applyBorder="1" applyAlignment="1" applyProtection="1">
      <alignment horizontal="left" vertical="center" wrapText="1"/>
      <protection hidden="1"/>
    </xf>
    <xf numFmtId="0" fontId="33" fillId="0" borderId="0" xfId="0" applyFont="1" applyBorder="1" applyAlignment="1" applyProtection="1">
      <alignment horizontal="left" vertical="center" wrapText="1"/>
      <protection hidden="1"/>
    </xf>
    <xf numFmtId="2" fontId="8" fillId="0" borderId="0" xfId="0" applyNumberFormat="1" applyFont="1" applyBorder="1" applyAlignment="1" applyProtection="1">
      <alignment horizontal="right" vertical="center" wrapText="1"/>
      <protection hidden="1"/>
    </xf>
    <xf numFmtId="0" fontId="33" fillId="0" borderId="21" xfId="0" applyFont="1" applyBorder="1" applyAlignment="1" applyProtection="1">
      <alignment horizontal="center" wrapText="1"/>
      <protection hidden="1"/>
    </xf>
    <xf numFmtId="0" fontId="33" fillId="0" borderId="6" xfId="0" applyFont="1" applyBorder="1" applyAlignment="1" applyProtection="1">
      <alignment horizontal="center" wrapText="1"/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56" fillId="0" borderId="0" xfId="0" applyFont="1" applyAlignment="1" applyProtection="1">
      <alignment horizontal="justify" vertical="top" wrapText="1"/>
      <protection hidden="1"/>
    </xf>
    <xf numFmtId="0" fontId="33" fillId="0" borderId="0" xfId="0" applyFont="1" applyAlignment="1" applyProtection="1">
      <alignment horizontal="left" vertical="center" wrapText="1"/>
      <protection hidden="1"/>
    </xf>
    <xf numFmtId="0" fontId="33" fillId="0" borderId="25" xfId="0" applyFont="1" applyBorder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wrapText="1"/>
      <protection hidden="1"/>
    </xf>
    <xf numFmtId="0" fontId="33" fillId="0" borderId="0" xfId="0" applyFont="1" applyAlignment="1" applyProtection="1">
      <alignment horizontal="right" vertical="center" wrapText="1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30" fillId="22" borderId="0" xfId="0" applyFont="1" applyFill="1" applyBorder="1" applyAlignment="1" applyProtection="1">
      <alignment horizontal="left" vertical="center" wrapText="1"/>
      <protection hidden="1"/>
    </xf>
    <xf numFmtId="0" fontId="56" fillId="0" borderId="0" xfId="0" applyFont="1" applyAlignment="1" applyProtection="1">
      <alignment horizontal="left" vertical="center" wrapText="1"/>
      <protection hidden="1"/>
    </xf>
    <xf numFmtId="0" fontId="17" fillId="0" borderId="14" xfId="0" applyFont="1" applyBorder="1" applyAlignment="1" applyProtection="1">
      <alignment horizontal="center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17" fillId="0" borderId="16" xfId="0" applyFont="1" applyBorder="1" applyAlignment="1" applyProtection="1">
      <alignment horizontal="center"/>
      <protection hidden="1"/>
    </xf>
    <xf numFmtId="0" fontId="30" fillId="0" borderId="22" xfId="0" applyFont="1" applyBorder="1" applyAlignment="1" applyProtection="1">
      <alignment horizontal="center" vertical="center" wrapText="1"/>
      <protection hidden="1"/>
    </xf>
    <xf numFmtId="0" fontId="33" fillId="0" borderId="32" xfId="0" applyFont="1" applyBorder="1" applyAlignment="1" applyProtection="1">
      <alignment horizontal="center" vertical="center" wrapText="1"/>
      <protection hidden="1"/>
    </xf>
    <xf numFmtId="0" fontId="33" fillId="0" borderId="23" xfId="0" applyFont="1" applyBorder="1" applyAlignment="1" applyProtection="1">
      <alignment horizontal="center" vertical="center" wrapText="1"/>
      <protection hidden="1"/>
    </xf>
    <xf numFmtId="0" fontId="56" fillId="0" borderId="0" xfId="0" applyFont="1" applyAlignment="1" applyProtection="1">
      <alignment horizontal="justify" vertical="justify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16" xfId="0" applyFont="1" applyBorder="1" applyAlignment="1" applyProtection="1">
      <alignment horizontal="center" vertical="center" wrapText="1"/>
      <protection hidden="1"/>
    </xf>
    <xf numFmtId="0" fontId="56" fillId="2" borderId="0" xfId="0" applyFont="1" applyFill="1" applyBorder="1" applyAlignment="1" applyProtection="1">
      <alignment horizontal="justify" vertical="justify" wrapText="1"/>
      <protection hidden="1"/>
    </xf>
    <xf numFmtId="0" fontId="33" fillId="0" borderId="14" xfId="0" applyFont="1" applyBorder="1" applyAlignment="1" applyProtection="1">
      <alignment horizontal="center" wrapText="1"/>
      <protection hidden="1"/>
    </xf>
    <xf numFmtId="0" fontId="33" fillId="0" borderId="16" xfId="0" applyFont="1" applyBorder="1" applyAlignment="1" applyProtection="1">
      <alignment horizontal="center" wrapText="1"/>
      <protection hidden="1"/>
    </xf>
    <xf numFmtId="0" fontId="56" fillId="0" borderId="0" xfId="0" applyFont="1" applyBorder="1" applyAlignment="1" applyProtection="1">
      <alignment horizontal="left" vertical="center" wrapText="1"/>
      <protection hidden="1"/>
    </xf>
    <xf numFmtId="0" fontId="56" fillId="0" borderId="0" xfId="0" applyFont="1" applyAlignment="1" applyProtection="1">
      <alignment horizontal="justify" vertical="justify" wrapText="1" readingOrder="1"/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0" fontId="33" fillId="0" borderId="0" xfId="0" applyFont="1" applyAlignment="1" applyProtection="1">
      <alignment horizontal="justify" vertical="center" wrapText="1"/>
      <protection hidden="1"/>
    </xf>
    <xf numFmtId="0" fontId="30" fillId="0" borderId="0" xfId="0" applyFont="1" applyBorder="1" applyAlignment="1" applyProtection="1">
      <alignment horizontal="left" vertical="center" wrapText="1"/>
      <protection hidden="1"/>
    </xf>
    <xf numFmtId="0" fontId="48" fillId="0" borderId="0" xfId="0" applyFont="1" applyAlignment="1" applyProtection="1">
      <alignment horizontal="left" vertical="center" wrapText="1"/>
      <protection hidden="1"/>
    </xf>
    <xf numFmtId="0" fontId="33" fillId="0" borderId="22" xfId="0" applyFont="1" applyBorder="1" applyAlignment="1" applyProtection="1">
      <alignment horizontal="center" wrapText="1"/>
      <protection hidden="1"/>
    </xf>
    <xf numFmtId="0" fontId="33" fillId="0" borderId="23" xfId="0" applyFont="1" applyBorder="1" applyAlignment="1" applyProtection="1">
      <alignment horizontal="center" wrapText="1"/>
      <protection hidden="1"/>
    </xf>
    <xf numFmtId="2" fontId="33" fillId="0" borderId="0" xfId="0" applyNumberFormat="1" applyFont="1" applyBorder="1" applyAlignment="1" applyProtection="1">
      <alignment horizontal="left" vertical="center" wrapText="1"/>
      <protection hidden="1"/>
    </xf>
    <xf numFmtId="14" fontId="33" fillId="0" borderId="0" xfId="0" applyNumberFormat="1" applyFont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2" fontId="30" fillId="2" borderId="0" xfId="0" applyNumberFormat="1" applyFont="1" applyFill="1" applyAlignment="1" applyProtection="1">
      <alignment horizontal="right" vertical="center"/>
      <protection hidden="1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Border="1" applyAlignment="1" applyProtection="1">
      <alignment horizontal="right" vertical="center" wrapText="1"/>
      <protection hidden="1"/>
    </xf>
    <xf numFmtId="14" fontId="33" fillId="0" borderId="0" xfId="0" applyNumberFormat="1" applyFont="1" applyBorder="1" applyAlignment="1" applyProtection="1">
      <alignment horizontal="left" vertical="center" wrapText="1"/>
      <protection hidden="1"/>
    </xf>
    <xf numFmtId="0" fontId="15" fillId="0" borderId="82" xfId="0" applyFont="1" applyBorder="1" applyAlignment="1" applyProtection="1">
      <alignment horizontal="justify" vertical="justify" wrapText="1" readingOrder="1"/>
      <protection hidden="1"/>
    </xf>
    <xf numFmtId="0" fontId="15" fillId="0" borderId="83" xfId="0" applyFont="1" applyBorder="1" applyAlignment="1" applyProtection="1">
      <alignment horizontal="justify" vertical="justify" wrapText="1" readingOrder="1"/>
      <protection hidden="1"/>
    </xf>
    <xf numFmtId="0" fontId="15" fillId="0" borderId="84" xfId="0" applyFont="1" applyBorder="1" applyAlignment="1" applyProtection="1">
      <alignment horizontal="justify" vertical="justify" wrapText="1" readingOrder="1"/>
      <protection hidden="1"/>
    </xf>
    <xf numFmtId="0" fontId="15" fillId="0" borderId="85" xfId="0" applyFont="1" applyBorder="1" applyAlignment="1" applyProtection="1">
      <alignment horizontal="justify" vertical="justify" wrapText="1" readingOrder="1"/>
      <protection hidden="1"/>
    </xf>
    <xf numFmtId="0" fontId="15" fillId="0" borderId="86" xfId="0" applyFont="1" applyBorder="1" applyAlignment="1" applyProtection="1">
      <alignment horizontal="justify" vertical="justify" wrapText="1" readingOrder="1"/>
      <protection hidden="1"/>
    </xf>
    <xf numFmtId="0" fontId="15" fillId="0" borderId="87" xfId="0" applyFont="1" applyBorder="1" applyAlignment="1" applyProtection="1">
      <alignment horizontal="justify" vertical="justify" wrapText="1" readingOrder="1"/>
      <protection hidden="1"/>
    </xf>
    <xf numFmtId="2" fontId="30" fillId="2" borderId="0" xfId="0" applyNumberFormat="1" applyFont="1" applyFill="1" applyAlignment="1" applyProtection="1">
      <alignment horizontal="center" vertical="center"/>
      <protection hidden="1"/>
    </xf>
    <xf numFmtId="2" fontId="30" fillId="0" borderId="0" xfId="0" applyNumberFormat="1" applyFont="1" applyBorder="1" applyAlignment="1" applyProtection="1">
      <alignment horizontal="right" vertical="center" wrapText="1"/>
      <protection hidden="1"/>
    </xf>
    <xf numFmtId="0" fontId="33" fillId="0" borderId="0" xfId="0" applyFont="1" applyAlignment="1" applyProtection="1">
      <alignment horizontal="justify" vertical="top" wrapText="1"/>
      <protection hidden="1"/>
    </xf>
    <xf numFmtId="0" fontId="33" fillId="0" borderId="0" xfId="0" applyFont="1" applyAlignment="1" applyProtection="1">
      <alignment horizontal="center"/>
      <protection hidden="1"/>
    </xf>
    <xf numFmtId="0" fontId="30" fillId="0" borderId="0" xfId="0" applyFont="1" applyFill="1" applyAlignment="1" applyProtection="1">
      <alignment horizontal="left" vertical="center" wrapText="1"/>
      <protection hidden="1"/>
    </xf>
    <xf numFmtId="0" fontId="56" fillId="0" borderId="0" xfId="0" applyFont="1" applyBorder="1" applyAlignment="1" applyProtection="1">
      <alignment horizontal="left" vertical="center"/>
      <protection hidden="1"/>
    </xf>
    <xf numFmtId="0" fontId="30" fillId="22" borderId="0" xfId="0" applyFont="1" applyFill="1" applyAlignment="1" applyProtection="1">
      <alignment horizontal="left" vertical="center" wrapText="1"/>
      <protection hidden="1"/>
    </xf>
    <xf numFmtId="0" fontId="15" fillId="0" borderId="22" xfId="0" applyFont="1" applyBorder="1" applyAlignment="1" applyProtection="1">
      <alignment horizontal="justify" vertical="justify" wrapText="1" readingOrder="1"/>
      <protection hidden="1"/>
    </xf>
    <xf numFmtId="0" fontId="15" fillId="0" borderId="23" xfId="0" applyFont="1" applyBorder="1" applyAlignment="1" applyProtection="1">
      <alignment horizontal="justify" vertical="justify" wrapText="1" readingOrder="1"/>
      <protection hidden="1"/>
    </xf>
    <xf numFmtId="0" fontId="15" fillId="0" borderId="24" xfId="0" applyFont="1" applyBorder="1" applyAlignment="1" applyProtection="1">
      <alignment horizontal="justify" vertical="justify" wrapText="1" readingOrder="1"/>
      <protection hidden="1"/>
    </xf>
    <xf numFmtId="0" fontId="15" fillId="0" borderId="39" xfId="0" applyFont="1" applyBorder="1" applyAlignment="1" applyProtection="1">
      <alignment horizontal="justify" vertical="justify" wrapText="1" readingOrder="1"/>
      <protection hidden="1"/>
    </xf>
    <xf numFmtId="0" fontId="15" fillId="0" borderId="21" xfId="0" applyFont="1" applyBorder="1" applyAlignment="1" applyProtection="1">
      <alignment horizontal="justify" vertical="justify" wrapText="1" readingOrder="1"/>
      <protection hidden="1"/>
    </xf>
    <xf numFmtId="0" fontId="15" fillId="0" borderId="6" xfId="0" applyFont="1" applyBorder="1" applyAlignment="1" applyProtection="1">
      <alignment horizontal="justify" vertical="justify" wrapText="1" readingOrder="1"/>
      <protection hidden="1"/>
    </xf>
  </cellXfs>
  <cellStyles count="5">
    <cellStyle name="Buena" xfId="2" builtinId="26"/>
    <cellStyle name="Estilo 1" xfId="3"/>
    <cellStyle name="Estilo 2" xfId="4"/>
    <cellStyle name="Normal" xfId="0" builtinId="0"/>
    <cellStyle name="Porcentaje" xfId="1" builtinId="5"/>
  </cellStyles>
  <dxfs count="1">
    <dxf>
      <font>
        <color rgb="FF9C0006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8DB4E2"/>
      <color rgb="FFB6FD03"/>
      <color rgb="FFDDEBF7"/>
      <color rgb="FFF4B084"/>
      <color rgb="FFC6E0B4"/>
      <color rgb="FFAEAAAA"/>
      <color rgb="FF000000"/>
      <color rgb="FFBDD7EE"/>
      <color rgb="FFFFC0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1'!$A$102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1'!$F$102:$F$104</c:f>
              <c:numCache>
                <c:formatCode>General</c:formatCode>
                <c:ptCount val="3"/>
                <c:pt idx="0">
                  <c:v>18.2</c:v>
                </c:pt>
                <c:pt idx="1">
                  <c:v>20.100000000000001</c:v>
                </c:pt>
                <c:pt idx="2" formatCode="0.0">
                  <c:v>22</c:v>
                </c:pt>
              </c:numCache>
            </c:numRef>
          </c:xVal>
          <c:yVal>
            <c:numRef>
              <c:f>'DATOS 1'!$H$102:$H$104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2959120"/>
        <c:axId val="1662961296"/>
      </c:scatterChart>
      <c:valAx>
        <c:axId val="1662959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62961296"/>
        <c:crosses val="autoZero"/>
        <c:crossBetween val="midCat"/>
      </c:valAx>
      <c:valAx>
        <c:axId val="166296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62959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1'!$A$134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1'!$F$134:$F$136</c:f>
              <c:numCache>
                <c:formatCode>General</c:formatCode>
                <c:ptCount val="3"/>
                <c:pt idx="0">
                  <c:v>18.100000000000001</c:v>
                </c:pt>
                <c:pt idx="1">
                  <c:v>20.100000000000001</c:v>
                </c:pt>
                <c:pt idx="2" formatCode="0.0">
                  <c:v>22</c:v>
                </c:pt>
              </c:numCache>
            </c:numRef>
          </c:xVal>
          <c:yVal>
            <c:numRef>
              <c:f>'DATOS 1'!$H$134:$H$136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54-4C2C-A3B8-28DABB52C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3824176"/>
        <c:axId val="1794361424"/>
      </c:scatterChart>
      <c:valAx>
        <c:axId val="1793824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61424"/>
        <c:crosses val="autoZero"/>
        <c:crossBetween val="midCat"/>
      </c:valAx>
      <c:valAx>
        <c:axId val="179436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824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1'!$A$137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1'!$F$137:$F$139</c:f>
              <c:numCache>
                <c:formatCode>General</c:formatCode>
                <c:ptCount val="3"/>
                <c:pt idx="0">
                  <c:v>41.8</c:v>
                </c:pt>
                <c:pt idx="1">
                  <c:v>50.6</c:v>
                </c:pt>
                <c:pt idx="2">
                  <c:v>59.4</c:v>
                </c:pt>
              </c:numCache>
            </c:numRef>
          </c:xVal>
          <c:yVal>
            <c:numRef>
              <c:f>'DATOS 1'!$H$137:$H$139</c:f>
              <c:numCache>
                <c:formatCode>General</c:formatCode>
                <c:ptCount val="3"/>
                <c:pt idx="0">
                  <c:v>-1.8</c:v>
                </c:pt>
                <c:pt idx="1">
                  <c:v>-0.6</c:v>
                </c:pt>
                <c:pt idx="2">
                  <c:v>0.6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86-4FBD-A156-260CF5034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4356528"/>
        <c:axId val="1794363600"/>
      </c:scatterChart>
      <c:valAx>
        <c:axId val="179435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63600"/>
        <c:crosses val="autoZero"/>
        <c:crossBetween val="midCat"/>
      </c:valAx>
      <c:valAx>
        <c:axId val="179436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56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1'!$A$140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1'!$F$140:$F$142</c:f>
              <c:numCache>
                <c:formatCode>General</c:formatCode>
                <c:ptCount val="3"/>
                <c:pt idx="0">
                  <c:v>397.9</c:v>
                </c:pt>
                <c:pt idx="1">
                  <c:v>753.2</c:v>
                </c:pt>
                <c:pt idx="2">
                  <c:v>1099.3</c:v>
                </c:pt>
              </c:numCache>
            </c:numRef>
          </c:xVal>
          <c:yVal>
            <c:numRef>
              <c:f>'DATOS 1'!$H$140:$H$142</c:f>
              <c:numCache>
                <c:formatCode>0.00</c:formatCode>
                <c:ptCount val="3"/>
                <c:pt idx="0" formatCode="General">
                  <c:v>-1.3</c:v>
                </c:pt>
                <c:pt idx="1">
                  <c:v>-0.64100000000000001</c:v>
                </c:pt>
                <c:pt idx="2" formatCode="General">
                  <c:v>-0.06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2A-4CA5-B01E-5230918C5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4364144"/>
        <c:axId val="1794357072"/>
      </c:scatterChart>
      <c:valAx>
        <c:axId val="1794364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57072"/>
        <c:crosses val="autoZero"/>
        <c:crossBetween val="midCat"/>
      </c:valAx>
      <c:valAx>
        <c:axId val="179435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64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1'!$A$144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1'!$F$144:$F$146</c:f>
              <c:numCache>
                <c:formatCode>0.0</c:formatCode>
                <c:ptCount val="3"/>
                <c:pt idx="0" formatCode="General">
                  <c:v>18.2</c:v>
                </c:pt>
                <c:pt idx="1">
                  <c:v>20</c:v>
                </c:pt>
                <c:pt idx="2">
                  <c:v>22</c:v>
                </c:pt>
              </c:numCache>
            </c:numRef>
          </c:xVal>
          <c:yVal>
            <c:numRef>
              <c:f>'DATOS 1'!$H$144:$H$146</c:f>
              <c:numCache>
                <c:formatCode>General</c:formatCode>
                <c:ptCount val="3"/>
                <c:pt idx="0">
                  <c:v>0</c:v>
                </c:pt>
                <c:pt idx="1">
                  <c:v>0.1</c:v>
                </c:pt>
                <c:pt idx="2" formatCode="0.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5D-4601-B71D-F8FE84281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4362512"/>
        <c:axId val="1794366320"/>
      </c:scatterChart>
      <c:valAx>
        <c:axId val="1794362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66320"/>
        <c:crosses val="autoZero"/>
        <c:crossBetween val="midCat"/>
      </c:valAx>
      <c:valAx>
        <c:axId val="179436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62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1'!$A$147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1'!$F$147:$F$149</c:f>
              <c:numCache>
                <c:formatCode>General</c:formatCode>
                <c:ptCount val="3"/>
                <c:pt idx="0">
                  <c:v>41.8</c:v>
                </c:pt>
                <c:pt idx="1">
                  <c:v>50.5</c:v>
                </c:pt>
                <c:pt idx="2">
                  <c:v>59.3</c:v>
                </c:pt>
              </c:numCache>
            </c:numRef>
          </c:xVal>
          <c:yVal>
            <c:numRef>
              <c:f>'DATOS 1'!$H$147:$H$149</c:f>
              <c:numCache>
                <c:formatCode>General</c:formatCode>
                <c:ptCount val="3"/>
                <c:pt idx="0">
                  <c:v>-1.8</c:v>
                </c:pt>
                <c:pt idx="1">
                  <c:v>-0.5</c:v>
                </c:pt>
                <c:pt idx="2">
                  <c:v>0.7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BF-4D59-8992-3EC95F542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4358160"/>
        <c:axId val="1794363056"/>
      </c:scatterChart>
      <c:valAx>
        <c:axId val="1794358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63056"/>
        <c:crosses val="autoZero"/>
        <c:crossBetween val="midCat"/>
      </c:valAx>
      <c:valAx>
        <c:axId val="179436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58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1'!$A$150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1'!$F$150:$F$152</c:f>
              <c:numCache>
                <c:formatCode>General</c:formatCode>
                <c:ptCount val="3"/>
                <c:pt idx="0" formatCode="0.0">
                  <c:v>397.9</c:v>
                </c:pt>
                <c:pt idx="1">
                  <c:v>753.2</c:v>
                </c:pt>
                <c:pt idx="2">
                  <c:v>1099.2</c:v>
                </c:pt>
              </c:numCache>
            </c:numRef>
          </c:xVal>
          <c:yVal>
            <c:numRef>
              <c:f>'DATOS 1'!$H$150:$H$152</c:f>
              <c:numCache>
                <c:formatCode>0.00</c:formatCode>
                <c:ptCount val="3"/>
                <c:pt idx="0" formatCode="General">
                  <c:v>-1.34</c:v>
                </c:pt>
                <c:pt idx="1">
                  <c:v>-0.64100000000000001</c:v>
                </c:pt>
                <c:pt idx="2" formatCode="General">
                  <c:v>-0.54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56-4EF1-BFD6-D60C4CB4F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4364688"/>
        <c:axId val="1794359792"/>
      </c:scatterChart>
      <c:valAx>
        <c:axId val="1794364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59792"/>
        <c:crosses val="autoZero"/>
        <c:crossBetween val="midCat"/>
      </c:valAx>
      <c:valAx>
        <c:axId val="179435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64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'!$A$102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'!$F$102:$F$104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 formatCode="0.0">
                  <c:v>29.7</c:v>
                </c:pt>
              </c:numCache>
            </c:numRef>
          </c:xVal>
          <c:yVal>
            <c:numRef>
              <c:f>'DATOS '!$H$102:$H$104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4358704"/>
        <c:axId val="1794359248"/>
      </c:scatterChart>
      <c:valAx>
        <c:axId val="1794358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59248"/>
        <c:crosses val="autoZero"/>
        <c:crossBetween val="midCat"/>
      </c:valAx>
      <c:valAx>
        <c:axId val="179435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58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'!$A$105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'!$F$105:$F$107</c:f>
              <c:numCache>
                <c:formatCode>0.0</c:formatCode>
                <c:ptCount val="3"/>
                <c:pt idx="0" formatCode="General">
                  <c:v>33.1</c:v>
                </c:pt>
                <c:pt idx="1">
                  <c:v>51</c:v>
                </c:pt>
                <c:pt idx="2" formatCode="General">
                  <c:v>77.2</c:v>
                </c:pt>
              </c:numCache>
            </c:numRef>
          </c:xVal>
          <c:yVal>
            <c:numRef>
              <c:f>'DATOS '!$H$105:$H$107</c:f>
              <c:numCache>
                <c:formatCode>0.0</c:formatCode>
                <c:ptCount val="3"/>
                <c:pt idx="0" formatCode="General">
                  <c:v>-3.1</c:v>
                </c:pt>
                <c:pt idx="1">
                  <c:v>-1</c:v>
                </c:pt>
                <c:pt idx="2" formatCode="General">
                  <c:v>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4368496"/>
        <c:axId val="1794360336"/>
      </c:scatterChart>
      <c:valAx>
        <c:axId val="1794368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60336"/>
        <c:crosses val="autoZero"/>
        <c:crossBetween val="midCat"/>
      </c:valAx>
      <c:valAx>
        <c:axId val="17943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68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'!$A$108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'!$F$108:$F$110</c:f>
              <c:numCache>
                <c:formatCode>General</c:formatCode>
                <c:ptCount val="3"/>
                <c:pt idx="0">
                  <c:v>698.3</c:v>
                </c:pt>
                <c:pt idx="1">
                  <c:v>752.6</c:v>
                </c:pt>
                <c:pt idx="2" formatCode="0.0">
                  <c:v>798.4</c:v>
                </c:pt>
              </c:numCache>
            </c:numRef>
          </c:xVal>
          <c:yVal>
            <c:numRef>
              <c:f>'DATOS '!$H$108:$H$110</c:f>
              <c:numCache>
                <c:formatCode>General</c:formatCode>
                <c:ptCount val="3"/>
                <c:pt idx="0">
                  <c:v>-0.92</c:v>
                </c:pt>
                <c:pt idx="1">
                  <c:v>-0.89</c:v>
                </c:pt>
                <c:pt idx="2">
                  <c:v>-0.79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4355984"/>
        <c:axId val="1794360880"/>
      </c:scatterChart>
      <c:valAx>
        <c:axId val="1794355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60880"/>
        <c:crosses val="autoZero"/>
        <c:crossBetween val="midCat"/>
      </c:valAx>
      <c:valAx>
        <c:axId val="179436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55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'!$A$113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'!$F$113:$F$115</c:f>
              <c:numCache>
                <c:formatCode>General</c:formatCode>
                <c:ptCount val="3"/>
                <c:pt idx="0" formatCode="0.0">
                  <c:v>15.4</c:v>
                </c:pt>
                <c:pt idx="1">
                  <c:v>24.8</c:v>
                </c:pt>
                <c:pt idx="2">
                  <c:v>34.4</c:v>
                </c:pt>
              </c:numCache>
            </c:numRef>
          </c:xVal>
          <c:yVal>
            <c:numRef>
              <c:f>'DATOS '!$H$113:$H$115</c:f>
              <c:numCache>
                <c:formatCode>General</c:formatCode>
                <c:ptCount val="3"/>
                <c:pt idx="0">
                  <c:v>-0.2</c:v>
                </c:pt>
                <c:pt idx="1">
                  <c:v>0.1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D46-4927-83DD-804D2FE4D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4366864"/>
        <c:axId val="1794367952"/>
      </c:scatterChart>
      <c:valAx>
        <c:axId val="1794366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67952"/>
        <c:crosses val="autoZero"/>
        <c:crossBetween val="midCat"/>
      </c:valAx>
      <c:valAx>
        <c:axId val="179436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66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1'!$A$105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1'!$F$105:$F$107</c:f>
              <c:numCache>
                <c:formatCode>General</c:formatCode>
                <c:ptCount val="3"/>
                <c:pt idx="0">
                  <c:v>41.8</c:v>
                </c:pt>
                <c:pt idx="1">
                  <c:v>50.4</c:v>
                </c:pt>
                <c:pt idx="2">
                  <c:v>59.3</c:v>
                </c:pt>
              </c:numCache>
            </c:numRef>
          </c:xVal>
          <c:yVal>
            <c:numRef>
              <c:f>'DATOS 1'!$H$105:$H$107</c:f>
              <c:numCache>
                <c:formatCode>General</c:formatCode>
                <c:ptCount val="3"/>
                <c:pt idx="0">
                  <c:v>-1.8</c:v>
                </c:pt>
                <c:pt idx="1">
                  <c:v>-0.4</c:v>
                </c:pt>
                <c:pt idx="2">
                  <c:v>0.8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2949872"/>
        <c:axId val="1662954224"/>
      </c:scatterChart>
      <c:valAx>
        <c:axId val="1662949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62954224"/>
        <c:crosses val="autoZero"/>
        <c:crossBetween val="midCat"/>
      </c:valAx>
      <c:valAx>
        <c:axId val="166295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62949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'!$A$116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4848414868416676"/>
                  <c:y val="-0.3484111918641014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'!$F$116:$F$118</c:f>
              <c:numCache>
                <c:formatCode>General</c:formatCode>
                <c:ptCount val="3"/>
                <c:pt idx="0">
                  <c:v>32.5</c:v>
                </c:pt>
                <c:pt idx="1">
                  <c:v>50.6</c:v>
                </c:pt>
                <c:pt idx="2">
                  <c:v>77.099999999999994</c:v>
                </c:pt>
              </c:numCache>
            </c:numRef>
          </c:xVal>
          <c:yVal>
            <c:numRef>
              <c:f>'DATOS '!$H$116:$H$118</c:f>
              <c:numCache>
                <c:formatCode>#,##0.0</c:formatCode>
                <c:ptCount val="3"/>
                <c:pt idx="0">
                  <c:v>-2.5</c:v>
                </c:pt>
                <c:pt idx="1">
                  <c:v>-0.6</c:v>
                </c:pt>
                <c:pt idx="2">
                  <c:v>2.9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D0-4190-AB94-913453D11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4365232"/>
        <c:axId val="1794361968"/>
      </c:scatterChart>
      <c:valAx>
        <c:axId val="1794365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61968"/>
        <c:crosses val="autoZero"/>
        <c:crossBetween val="midCat"/>
      </c:valAx>
      <c:valAx>
        <c:axId val="179436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6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'!$A$119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'!$F$119:$F$121</c:f>
              <c:numCache>
                <c:formatCode>General</c:formatCode>
                <c:ptCount val="3"/>
                <c:pt idx="0" formatCode="0.0">
                  <c:v>698.3</c:v>
                </c:pt>
                <c:pt idx="1">
                  <c:v>752.7</c:v>
                </c:pt>
                <c:pt idx="2">
                  <c:v>798.5</c:v>
                </c:pt>
              </c:numCache>
            </c:numRef>
          </c:xVal>
          <c:yVal>
            <c:numRef>
              <c:f>'DATOS '!$H$119:$H$121</c:f>
              <c:numCache>
                <c:formatCode>#,##0.00</c:formatCode>
                <c:ptCount val="3"/>
                <c:pt idx="0">
                  <c:v>-0.82</c:v>
                </c:pt>
                <c:pt idx="1">
                  <c:v>-0.79</c:v>
                </c:pt>
                <c:pt idx="2">
                  <c:v>-0.53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1C-49AD-A6DE-8CBDA2D28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4365776"/>
        <c:axId val="1794370128"/>
      </c:scatterChart>
      <c:valAx>
        <c:axId val="179436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70128"/>
        <c:crosses val="autoZero"/>
        <c:crossBetween val="midCat"/>
      </c:valAx>
      <c:valAx>
        <c:axId val="179437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65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'!$A$124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'!$F$124:$F$126</c:f>
              <c:numCache>
                <c:formatCode>General</c:formatCode>
                <c:ptCount val="3"/>
                <c:pt idx="0" formatCode="0.0">
                  <c:v>15.3</c:v>
                </c:pt>
                <c:pt idx="1">
                  <c:v>24.8</c:v>
                </c:pt>
                <c:pt idx="2">
                  <c:v>34.4</c:v>
                </c:pt>
              </c:numCache>
            </c:numRef>
          </c:xVal>
          <c:yVal>
            <c:numRef>
              <c:f>'DATOS '!$H$124:$H$126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 formatCode="General">
                  <c:v>-0.1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59-4BD1-B837-A7E5F0759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4367408"/>
        <c:axId val="1794369040"/>
      </c:scatterChart>
      <c:valAx>
        <c:axId val="1794367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69040"/>
        <c:crosses val="autoZero"/>
        <c:crossBetween val="midCat"/>
      </c:valAx>
      <c:valAx>
        <c:axId val="179436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67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'!$A$127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'!$F$127:$F$129</c:f>
              <c:numCache>
                <c:formatCode>General</c:formatCode>
                <c:ptCount val="3"/>
                <c:pt idx="0">
                  <c:v>32.5</c:v>
                </c:pt>
                <c:pt idx="1">
                  <c:v>50.8</c:v>
                </c:pt>
                <c:pt idx="2">
                  <c:v>78.2</c:v>
                </c:pt>
              </c:numCache>
            </c:numRef>
          </c:xVal>
          <c:yVal>
            <c:numRef>
              <c:f>'DATOS '!$H$127:$H$129</c:f>
              <c:numCache>
                <c:formatCode>General</c:formatCode>
                <c:ptCount val="3"/>
                <c:pt idx="0">
                  <c:v>-2.5</c:v>
                </c:pt>
                <c:pt idx="1">
                  <c:v>-0.8</c:v>
                </c:pt>
                <c:pt idx="2">
                  <c:v>1.8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DFD-4AC2-830C-884BE4D63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4369584"/>
        <c:axId val="1794357616"/>
      </c:scatterChart>
      <c:valAx>
        <c:axId val="1794369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57616"/>
        <c:crosses val="autoZero"/>
        <c:crossBetween val="midCat"/>
      </c:valAx>
      <c:valAx>
        <c:axId val="179435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69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'!$A$130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'!$F$130:$F$132</c:f>
              <c:numCache>
                <c:formatCode>General</c:formatCode>
                <c:ptCount val="3"/>
                <c:pt idx="0" formatCode="0.0">
                  <c:v>698.4</c:v>
                </c:pt>
                <c:pt idx="1">
                  <c:v>752.8</c:v>
                </c:pt>
                <c:pt idx="2">
                  <c:v>798.4</c:v>
                </c:pt>
              </c:numCache>
            </c:numRef>
          </c:xVal>
          <c:yVal>
            <c:numRef>
              <c:f>'DATOS '!$H$130:$H$132</c:f>
              <c:numCache>
                <c:formatCode>0.00</c:formatCode>
                <c:ptCount val="3"/>
                <c:pt idx="0">
                  <c:v>-0.83</c:v>
                </c:pt>
                <c:pt idx="1">
                  <c:v>-0.69</c:v>
                </c:pt>
                <c:pt idx="2">
                  <c:v>-0.75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10-4347-83E6-C438887EB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4370672"/>
        <c:axId val="1794355440"/>
      </c:scatterChart>
      <c:valAx>
        <c:axId val="1794370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55440"/>
        <c:crosses val="autoZero"/>
        <c:crossBetween val="midCat"/>
      </c:valAx>
      <c:valAx>
        <c:axId val="179435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4370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'!$A$134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'!$F$134:$F$136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 formatCode="0.0">
                  <c:v>29.6</c:v>
                </c:pt>
              </c:numCache>
            </c:numRef>
          </c:xVal>
          <c:yVal>
            <c:numRef>
              <c:f>'DATOS '!$H$134:$H$136</c:f>
              <c:numCache>
                <c:formatCode>0.0</c:formatCode>
                <c:ptCount val="3"/>
                <c:pt idx="0">
                  <c:v>-0.1</c:v>
                </c:pt>
                <c:pt idx="1">
                  <c:v>-0.1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54-4C2C-A3B8-28DABB52C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052432"/>
        <c:axId val="1795041552"/>
      </c:scatterChart>
      <c:valAx>
        <c:axId val="1795052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5041552"/>
        <c:crosses val="autoZero"/>
        <c:crossBetween val="midCat"/>
      </c:valAx>
      <c:valAx>
        <c:axId val="179504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5052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'!$A$137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'!$F$137:$F$139</c:f>
              <c:numCache>
                <c:formatCode>General</c:formatCode>
                <c:ptCount val="3"/>
                <c:pt idx="0">
                  <c:v>33.4</c:v>
                </c:pt>
                <c:pt idx="1">
                  <c:v>51.3</c:v>
                </c:pt>
                <c:pt idx="2">
                  <c:v>77.400000000000006</c:v>
                </c:pt>
              </c:numCache>
            </c:numRef>
          </c:xVal>
          <c:yVal>
            <c:numRef>
              <c:f>'DATOS '!$H$137:$H$139</c:f>
              <c:numCache>
                <c:formatCode>General</c:formatCode>
                <c:ptCount val="3"/>
                <c:pt idx="0">
                  <c:v>-3.4</c:v>
                </c:pt>
                <c:pt idx="1">
                  <c:v>-1.3</c:v>
                </c:pt>
                <c:pt idx="2">
                  <c:v>2.6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86-4FBD-A156-260CF5034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043728"/>
        <c:axId val="1795041008"/>
      </c:scatterChart>
      <c:valAx>
        <c:axId val="1795043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5041008"/>
        <c:crosses val="autoZero"/>
        <c:crossBetween val="midCat"/>
      </c:valAx>
      <c:valAx>
        <c:axId val="179504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5043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'!$A$140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'!$F$140:$F$142</c:f>
              <c:numCache>
                <c:formatCode>General</c:formatCode>
                <c:ptCount val="3"/>
                <c:pt idx="0">
                  <c:v>698.4</c:v>
                </c:pt>
                <c:pt idx="1">
                  <c:v>752.7</c:v>
                </c:pt>
                <c:pt idx="2">
                  <c:v>798.4</c:v>
                </c:pt>
              </c:numCache>
            </c:numRef>
          </c:xVal>
          <c:yVal>
            <c:numRef>
              <c:f>'DATOS '!$H$140:$H$142</c:f>
              <c:numCache>
                <c:formatCode>0.00</c:formatCode>
                <c:ptCount val="3"/>
                <c:pt idx="0" formatCode="General">
                  <c:v>-0.83</c:v>
                </c:pt>
                <c:pt idx="1">
                  <c:v>-0.79</c:v>
                </c:pt>
                <c:pt idx="2" formatCode="General">
                  <c:v>-0.74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2A-4CA5-B01E-5230918C5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046448"/>
        <c:axId val="1795039920"/>
      </c:scatterChart>
      <c:valAx>
        <c:axId val="1795046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5039920"/>
        <c:crosses val="autoZero"/>
        <c:crossBetween val="midCat"/>
      </c:valAx>
      <c:valAx>
        <c:axId val="179503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5046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'!$A$144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'!$F$144:$F$146</c:f>
              <c:numCache>
                <c:formatCode>0.0</c:formatCode>
                <c:ptCount val="3"/>
                <c:pt idx="0" formatCode="General">
                  <c:v>15.2</c:v>
                </c:pt>
                <c:pt idx="1">
                  <c:v>24.8</c:v>
                </c:pt>
                <c:pt idx="2">
                  <c:v>29.6</c:v>
                </c:pt>
              </c:numCache>
            </c:numRef>
          </c:xVal>
          <c:yVal>
            <c:numRef>
              <c:f>'DATOS '!$H$144:$H$146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5D-4601-B71D-F8FE84281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044816"/>
        <c:axId val="1795052976"/>
      </c:scatterChart>
      <c:valAx>
        <c:axId val="1795044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5052976"/>
        <c:crosses val="autoZero"/>
        <c:crossBetween val="midCat"/>
      </c:valAx>
      <c:valAx>
        <c:axId val="179505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5044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'!$A$147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566452924726993"/>
                  <c:y val="-0.4278437804908558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'!$F$147:$F$149</c:f>
              <c:numCache>
                <c:formatCode>General</c:formatCode>
                <c:ptCount val="3"/>
                <c:pt idx="0">
                  <c:v>33.5</c:v>
                </c:pt>
                <c:pt idx="1">
                  <c:v>51.2</c:v>
                </c:pt>
                <c:pt idx="2">
                  <c:v>77.099999999999994</c:v>
                </c:pt>
              </c:numCache>
            </c:numRef>
          </c:xVal>
          <c:yVal>
            <c:numRef>
              <c:f>'DATOS '!$H$147:$H$149</c:f>
              <c:numCache>
                <c:formatCode>General</c:formatCode>
                <c:ptCount val="3"/>
                <c:pt idx="0">
                  <c:v>-3.5</c:v>
                </c:pt>
                <c:pt idx="1">
                  <c:v>-1.2</c:v>
                </c:pt>
                <c:pt idx="2">
                  <c:v>2.9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BF-4D59-8992-3EC95F542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051888"/>
        <c:axId val="1795048624"/>
      </c:scatterChart>
      <c:valAx>
        <c:axId val="1795051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5048624"/>
        <c:crosses val="autoZero"/>
        <c:crossBetween val="midCat"/>
      </c:valAx>
      <c:valAx>
        <c:axId val="179504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5051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1'!$A$108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1'!$F$108:$F$110</c:f>
              <c:numCache>
                <c:formatCode>General</c:formatCode>
                <c:ptCount val="3"/>
                <c:pt idx="0">
                  <c:v>397.9</c:v>
                </c:pt>
                <c:pt idx="1">
                  <c:v>753.1</c:v>
                </c:pt>
                <c:pt idx="2" formatCode="0.0">
                  <c:v>899</c:v>
                </c:pt>
              </c:numCache>
            </c:numRef>
          </c:xVal>
          <c:yVal>
            <c:numRef>
              <c:f>'DATOS 1'!$H$108:$H$110</c:f>
              <c:numCache>
                <c:formatCode>General</c:formatCode>
                <c:ptCount val="3"/>
                <c:pt idx="0">
                  <c:v>-1.3</c:v>
                </c:pt>
                <c:pt idx="1">
                  <c:v>-0.74</c:v>
                </c:pt>
                <c:pt idx="2">
                  <c:v>-0.09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5020192"/>
        <c:axId val="1793823088"/>
      </c:scatterChart>
      <c:valAx>
        <c:axId val="148502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823088"/>
        <c:crosses val="autoZero"/>
        <c:crossBetween val="midCat"/>
      </c:valAx>
      <c:valAx>
        <c:axId val="179382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5020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'!$A$150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'!$F$150:$F$152</c:f>
              <c:numCache>
                <c:formatCode>General</c:formatCode>
                <c:ptCount val="3"/>
                <c:pt idx="0" formatCode="0.0">
                  <c:v>698.3</c:v>
                </c:pt>
                <c:pt idx="1">
                  <c:v>752.7</c:v>
                </c:pt>
                <c:pt idx="2">
                  <c:v>798.4</c:v>
                </c:pt>
              </c:numCache>
            </c:numRef>
          </c:xVal>
          <c:yVal>
            <c:numRef>
              <c:f>'DATOS '!$H$150:$H$152</c:f>
              <c:numCache>
                <c:formatCode>0.00</c:formatCode>
                <c:ptCount val="3"/>
                <c:pt idx="0" formatCode="General">
                  <c:v>-0.88</c:v>
                </c:pt>
                <c:pt idx="1">
                  <c:v>-0.79200000000000004</c:v>
                </c:pt>
                <c:pt idx="2" formatCode="General">
                  <c:v>-0.77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56-4EF1-BFD6-D60C4CB4F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053520"/>
        <c:axId val="1795054608"/>
      </c:scatterChart>
      <c:valAx>
        <c:axId val="1795053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5054608"/>
        <c:crosses val="autoZero"/>
        <c:crossBetween val="midCat"/>
      </c:valAx>
      <c:valAx>
        <c:axId val="179505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5053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10381473589231E-2"/>
          <c:y val="0.11696981123415198"/>
          <c:w val="0.89016256604346367"/>
          <c:h val="0.807681013008630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'RT03-F12'!$J$126:$J$130</c:f>
              <c:str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strCache>
            </c:strRef>
          </c:tx>
          <c:spPr>
            <a:ln w="25400" cap="rnd">
              <a:solidFill>
                <a:schemeClr val="accent1"/>
              </a:solidFill>
              <a:beve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2">
                  <a:lumMod val="75000"/>
                </a:schemeClr>
              </a:solidFill>
              <a:ln w="25400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2873205421332047"/>
                  <c:y val="-0.157172959302473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xVal>
            <c:numRef>
              <c:f>'RT03-F12'!$J$126:$J$130</c:f>
              <c:numCache>
                <c:formatCode>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'RT03-F12'!$K$126:$K$130</c:f>
              <c:numCache>
                <c:formatCode>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5C-48CB-9721-F102F978F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045360"/>
        <c:axId val="1795043184"/>
      </c:scatterChart>
      <c:valAx>
        <c:axId val="1795045360"/>
        <c:scaling>
          <c:orientation val="minMax"/>
          <c:max val="90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cap="none" baseline="0"/>
                  <a:t>CARGA (g)</a:t>
                </a:r>
              </a:p>
            </c:rich>
          </c:tx>
          <c:layout>
            <c:manualLayout>
              <c:xMode val="edge"/>
              <c:yMode val="edge"/>
              <c:x val="0.49284502787607881"/>
              <c:y val="0.829406798814515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5043184"/>
        <c:crosses val="autoZero"/>
        <c:crossBetween val="midCat"/>
        <c:majorUnit val="1000"/>
        <c:minorUnit val="10"/>
      </c:valAx>
      <c:valAx>
        <c:axId val="17950431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none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cap="none" baseline="0"/>
                  <a:t>Incertidumbre   mg                    </a:t>
                </a:r>
              </a:p>
            </c:rich>
          </c:tx>
          <c:layout>
            <c:manualLayout>
              <c:xMode val="edge"/>
              <c:yMode val="edge"/>
              <c:x val="1.2119361627031297E-2"/>
              <c:y val="0.277740617351224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none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5045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ERROR E INCERTIDUMBRE EXPANDIDA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102975995505345"/>
          <c:y val="0.15223223351960843"/>
          <c:w val="0.7767882213169266"/>
          <c:h val="0.70618245054164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'RT03-F15 '!$B$114</c:f>
              <c:strCache>
                <c:ptCount val="1"/>
                <c:pt idx="0">
                  <c:v>ERROR (g)</c:v>
                </c:pt>
              </c:strCache>
            </c:strRef>
          </c:tx>
          <c:spPr>
            <a:ln w="9525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12700" cap="flat" cmpd="sng" algn="ctr">
                <a:solidFill>
                  <a:srgbClr val="FF0000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'RT03-F15 '!$C$115:$C$119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'RT03-F15 '!$C$115:$C$119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12700" cap="rnd">
                <a:solidFill>
                  <a:schemeClr val="tx1">
                    <a:alpha val="9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rnd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'RT03-F15 '!$A$115:$A$119</c:f>
              <c:numCache>
                <c:formatCode>0.0000</c:formatCode>
                <c:ptCount val="5"/>
                <c:pt idx="0" formatCode="0.0000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'RT03-F15 '!$B$115:$B$119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5A-45D2-B6C6-E3DBDB9EB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054064"/>
        <c:axId val="1795042640"/>
      </c:scatterChart>
      <c:valAx>
        <c:axId val="1795054064"/>
        <c:scaling>
          <c:orientation val="minMax"/>
          <c:max val="9000"/>
          <c:min val="-10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Carga ( g )</a:t>
                </a:r>
              </a:p>
            </c:rich>
          </c:tx>
          <c:layout>
            <c:manualLayout>
              <c:xMode val="edge"/>
              <c:yMode val="edge"/>
              <c:x val="0.43942835078333037"/>
              <c:y val="0.92715940113938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low"/>
        <c:spPr>
          <a:solidFill>
            <a:schemeClr val="bg2"/>
          </a:solidFill>
          <a:ln w="25400" cap="rnd">
            <a:solidFill>
              <a:schemeClr val="accent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5042640"/>
        <c:crossesAt val="0"/>
        <c:crossBetween val="midCat"/>
        <c:majorUnit val="1000"/>
        <c:minorUnit val="10"/>
      </c:valAx>
      <c:valAx>
        <c:axId val="179504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Error e Incertidumbre ( g )</a:t>
                </a:r>
              </a:p>
            </c:rich>
          </c:tx>
          <c:layout>
            <c:manualLayout>
              <c:xMode val="edge"/>
              <c:yMode val="edge"/>
              <c:x val="8.6280109763693213E-2"/>
              <c:y val="0.197381825005962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5054064"/>
        <c:crossesAt val="0"/>
        <c:crossBetween val="midCat"/>
      </c:valAx>
      <c:spPr>
        <a:noFill/>
        <a:ln w="25400">
          <a:noFill/>
        </a:ln>
        <a:effectLst>
          <a:softEdge rad="419100"/>
        </a:effectLst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ERROR E INCERTIDUMBRE EXPANDIDA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102975995505345"/>
          <c:y val="0.15223223351960843"/>
          <c:w val="0.7767882213169266"/>
          <c:h val="0.70618245054164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'RT03-F39'!$B$112</c:f>
              <c:strCache>
                <c:ptCount val="1"/>
                <c:pt idx="0">
                  <c:v>ERROR (g)</c:v>
                </c:pt>
              </c:strCache>
            </c:strRef>
          </c:tx>
          <c:spPr>
            <a:ln w="9525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12700" cap="flat" cmpd="sng" algn="ctr">
                <a:solidFill>
                  <a:srgbClr val="FF0000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'RT03-F39'!$C$113:$C$117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'RT03-F39'!$C$113:$C$117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12700" cap="rnd">
                <a:solidFill>
                  <a:schemeClr val="tx1">
                    <a:alpha val="9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rnd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'RT03-F39'!$A$113:$A$117</c:f>
              <c:numCache>
                <c:formatCode>0.0000</c:formatCode>
                <c:ptCount val="5"/>
                <c:pt idx="0" formatCode="0.0000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'RT03-F39'!$B$113:$B$117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5A-45D2-B6C6-E3DBDB9EB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042096"/>
        <c:axId val="1795055152"/>
      </c:scatterChart>
      <c:valAx>
        <c:axId val="1795042096"/>
        <c:scaling>
          <c:orientation val="minMax"/>
          <c:max val="9000"/>
          <c:min val="-10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Carga ( g )</a:t>
                </a:r>
              </a:p>
            </c:rich>
          </c:tx>
          <c:layout>
            <c:manualLayout>
              <c:xMode val="edge"/>
              <c:yMode val="edge"/>
              <c:x val="0.43942835078333037"/>
              <c:y val="0.92715940113938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low"/>
        <c:spPr>
          <a:solidFill>
            <a:schemeClr val="bg2"/>
          </a:solidFill>
          <a:ln w="25400" cap="rnd">
            <a:solidFill>
              <a:schemeClr val="accent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5055152"/>
        <c:crossesAt val="0"/>
        <c:crossBetween val="midCat"/>
        <c:majorUnit val="1000"/>
        <c:minorUnit val="10"/>
      </c:valAx>
      <c:valAx>
        <c:axId val="179505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Error e Incertidumbre ( g )</a:t>
                </a:r>
              </a:p>
            </c:rich>
          </c:tx>
          <c:layout>
            <c:manualLayout>
              <c:xMode val="edge"/>
              <c:yMode val="edge"/>
              <c:x val="8.6280109763693213E-2"/>
              <c:y val="0.197381825005962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5042096"/>
        <c:crossesAt val="0"/>
        <c:crossBetween val="midCat"/>
      </c:valAx>
      <c:spPr>
        <a:noFill/>
        <a:ln w="25400">
          <a:noFill/>
        </a:ln>
        <a:effectLst>
          <a:softEdge rad="419100"/>
        </a:effectLst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1'!$A$113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1'!$F$113:$F$115</c:f>
              <c:numCache>
                <c:formatCode>General</c:formatCode>
                <c:ptCount val="3"/>
                <c:pt idx="0" formatCode="0.0">
                  <c:v>20</c:v>
                </c:pt>
                <c:pt idx="1">
                  <c:v>28.1</c:v>
                </c:pt>
                <c:pt idx="2">
                  <c:v>32.1</c:v>
                </c:pt>
              </c:numCache>
            </c:numRef>
          </c:xVal>
          <c:yVal>
            <c:numRef>
              <c:f>'DATOS 1'!$H$113:$H$115</c:f>
              <c:numCache>
                <c:formatCode>General</c:formatCode>
                <c:ptCount val="3"/>
                <c:pt idx="0">
                  <c:v>-0.1</c:v>
                </c:pt>
                <c:pt idx="1">
                  <c:v>0.1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D46-4927-83DD-804D2FE4D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3823632"/>
        <c:axId val="1793826896"/>
      </c:scatterChart>
      <c:valAx>
        <c:axId val="1793823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826896"/>
        <c:crosses val="autoZero"/>
        <c:crossBetween val="midCat"/>
      </c:valAx>
      <c:valAx>
        <c:axId val="179382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823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1'!$A$116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1'!$F$116:$F$118</c:f>
              <c:numCache>
                <c:formatCode>General</c:formatCode>
                <c:ptCount val="3"/>
                <c:pt idx="0">
                  <c:v>50.1</c:v>
                </c:pt>
                <c:pt idx="1">
                  <c:v>59.9</c:v>
                </c:pt>
                <c:pt idx="2">
                  <c:v>69.099999999999994</c:v>
                </c:pt>
              </c:numCache>
            </c:numRef>
          </c:xVal>
          <c:yVal>
            <c:numRef>
              <c:f>'DATOS 1'!$H$116:$H$118</c:f>
              <c:numCache>
                <c:formatCode>#,##0.0</c:formatCode>
                <c:ptCount val="3"/>
                <c:pt idx="0">
                  <c:v>0.9</c:v>
                </c:pt>
                <c:pt idx="1">
                  <c:v>0.5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D0-4190-AB94-913453D11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3820368"/>
        <c:axId val="1793824720"/>
      </c:scatterChart>
      <c:valAx>
        <c:axId val="1793820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824720"/>
        <c:crosses val="autoZero"/>
        <c:crossBetween val="midCat"/>
      </c:valAx>
      <c:valAx>
        <c:axId val="179382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820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1'!$A$119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1'!$F$119:$F$121</c:f>
              <c:numCache>
                <c:formatCode>General</c:formatCode>
                <c:ptCount val="3"/>
                <c:pt idx="0" formatCode="0.0">
                  <c:v>499</c:v>
                </c:pt>
                <c:pt idx="1">
                  <c:v>799.8</c:v>
                </c:pt>
                <c:pt idx="2">
                  <c:v>1099.8</c:v>
                </c:pt>
              </c:numCache>
            </c:numRef>
          </c:xVal>
          <c:yVal>
            <c:numRef>
              <c:f>'DATOS 1'!$H$119:$H$121</c:f>
              <c:numCache>
                <c:formatCode>#,##0.0</c:formatCode>
                <c:ptCount val="3"/>
                <c:pt idx="0">
                  <c:v>-1</c:v>
                </c:pt>
                <c:pt idx="1">
                  <c:v>-0.4</c:v>
                </c:pt>
                <c:pt idx="2">
                  <c:v>-0.4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1C-49AD-A6DE-8CBDA2D28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3827440"/>
        <c:axId val="1793822000"/>
      </c:scatterChart>
      <c:valAx>
        <c:axId val="1793827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822000"/>
        <c:crosses val="autoZero"/>
        <c:crossBetween val="midCat"/>
      </c:valAx>
      <c:valAx>
        <c:axId val="179382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827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1'!$A$124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1'!$F$124:$F$126</c:f>
              <c:numCache>
                <c:formatCode>General</c:formatCode>
                <c:ptCount val="3"/>
                <c:pt idx="0" formatCode="0.0">
                  <c:v>16</c:v>
                </c:pt>
                <c:pt idx="1">
                  <c:v>20.100000000000001</c:v>
                </c:pt>
                <c:pt idx="2">
                  <c:v>24.4</c:v>
                </c:pt>
              </c:numCache>
            </c:numRef>
          </c:xVal>
          <c:yVal>
            <c:numRef>
              <c:f>'DATOS 1'!$H$124:$H$126</c:f>
              <c:numCache>
                <c:formatCode>General</c:formatCode>
                <c:ptCount val="3"/>
                <c:pt idx="0">
                  <c:v>-0.1</c:v>
                </c:pt>
                <c:pt idx="1">
                  <c:v>-0.1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59-4BD1-B837-A7E5F0759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3825808"/>
        <c:axId val="1793820912"/>
      </c:scatterChart>
      <c:valAx>
        <c:axId val="1793825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820912"/>
        <c:crosses val="autoZero"/>
        <c:crossBetween val="midCat"/>
      </c:valAx>
      <c:valAx>
        <c:axId val="179382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825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1'!$A$127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1'!$F$127:$F$129</c:f>
              <c:numCache>
                <c:formatCode>General</c:formatCode>
                <c:ptCount val="3"/>
                <c:pt idx="0">
                  <c:v>39.5</c:v>
                </c:pt>
                <c:pt idx="1">
                  <c:v>49.8</c:v>
                </c:pt>
                <c:pt idx="2">
                  <c:v>59.3</c:v>
                </c:pt>
              </c:numCache>
            </c:numRef>
          </c:xVal>
          <c:yVal>
            <c:numRef>
              <c:f>'DATOS 1'!$H$127:$H$129</c:f>
              <c:numCache>
                <c:formatCode>General</c:formatCode>
                <c:ptCount val="3"/>
                <c:pt idx="0">
                  <c:v>0.79</c:v>
                </c:pt>
                <c:pt idx="1">
                  <c:v>0.63</c:v>
                </c:pt>
                <c:pt idx="2">
                  <c:v>-0.13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DFD-4AC2-830C-884BE4D63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3821456"/>
        <c:axId val="1793822544"/>
      </c:scatterChart>
      <c:valAx>
        <c:axId val="179382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822544"/>
        <c:crosses val="autoZero"/>
        <c:crossBetween val="midCat"/>
      </c:valAx>
      <c:valAx>
        <c:axId val="179382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821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1'!$A$130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1'!$F$130:$F$132</c:f>
              <c:numCache>
                <c:formatCode>General</c:formatCode>
                <c:ptCount val="3"/>
                <c:pt idx="0" formatCode="0.0">
                  <c:v>499</c:v>
                </c:pt>
                <c:pt idx="1">
                  <c:v>799.8</c:v>
                </c:pt>
                <c:pt idx="2">
                  <c:v>1099.9000000000001</c:v>
                </c:pt>
              </c:numCache>
            </c:numRef>
          </c:xVal>
          <c:yVal>
            <c:numRef>
              <c:f>'DATOS 1'!$H$130:$H$132</c:f>
              <c:numCache>
                <c:formatCode>0.0</c:formatCode>
                <c:ptCount val="3"/>
                <c:pt idx="0">
                  <c:v>-1</c:v>
                </c:pt>
                <c:pt idx="1">
                  <c:v>-0.4</c:v>
                </c:pt>
                <c:pt idx="2">
                  <c:v>-0.3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10-4347-83E6-C438887EB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3825264"/>
        <c:axId val="1793826352"/>
      </c:scatterChart>
      <c:valAx>
        <c:axId val="1793825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826352"/>
        <c:crosses val="autoZero"/>
        <c:crossBetween val="midCat"/>
      </c:valAx>
      <c:valAx>
        <c:axId val="179382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825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31.xml"/><Relationship Id="rId5" Type="http://schemas.openxmlformats.org/officeDocument/2006/relationships/image" Target="file:///\\Abeltran\publico\Logo%20completo.gif" TargetMode="Externa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196169</xdr:colOff>
      <xdr:row>99</xdr:row>
      <xdr:rowOff>157616</xdr:rowOff>
    </xdr:from>
    <xdr:to>
      <xdr:col>13</xdr:col>
      <xdr:colOff>944559</xdr:colOff>
      <xdr:row>102</xdr:row>
      <xdr:rowOff>293688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206375</xdr:colOff>
      <xdr:row>102</xdr:row>
      <xdr:rowOff>365125</xdr:rowOff>
    </xdr:from>
    <xdr:to>
      <xdr:col>13</xdr:col>
      <xdr:colOff>954765</xdr:colOff>
      <xdr:row>106</xdr:row>
      <xdr:rowOff>120197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174625</xdr:colOff>
      <xdr:row>106</xdr:row>
      <xdr:rowOff>134938</xdr:rowOff>
    </xdr:from>
    <xdr:to>
      <xdr:col>13</xdr:col>
      <xdr:colOff>923015</xdr:colOff>
      <xdr:row>109</xdr:row>
      <xdr:rowOff>271010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246063</xdr:colOff>
      <xdr:row>110</xdr:row>
      <xdr:rowOff>238125</xdr:rowOff>
    </xdr:from>
    <xdr:to>
      <xdr:col>13</xdr:col>
      <xdr:colOff>994453</xdr:colOff>
      <xdr:row>113</xdr:row>
      <xdr:rowOff>374197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246063</xdr:colOff>
      <xdr:row>114</xdr:row>
      <xdr:rowOff>1</xdr:rowOff>
    </xdr:from>
    <xdr:to>
      <xdr:col>13</xdr:col>
      <xdr:colOff>994453</xdr:colOff>
      <xdr:row>117</xdr:row>
      <xdr:rowOff>136073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206375</xdr:colOff>
      <xdr:row>117</xdr:row>
      <xdr:rowOff>174625</xdr:rowOff>
    </xdr:from>
    <xdr:to>
      <xdr:col>13</xdr:col>
      <xdr:colOff>954765</xdr:colOff>
      <xdr:row>120</xdr:row>
      <xdr:rowOff>310697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246063</xdr:colOff>
      <xdr:row>121</xdr:row>
      <xdr:rowOff>365125</xdr:rowOff>
    </xdr:from>
    <xdr:to>
      <xdr:col>13</xdr:col>
      <xdr:colOff>994453</xdr:colOff>
      <xdr:row>125</xdr:row>
      <xdr:rowOff>120197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254000</xdr:colOff>
      <xdr:row>125</xdr:row>
      <xdr:rowOff>134938</xdr:rowOff>
    </xdr:from>
    <xdr:to>
      <xdr:col>13</xdr:col>
      <xdr:colOff>1002390</xdr:colOff>
      <xdr:row>128</xdr:row>
      <xdr:rowOff>271010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230187</xdr:colOff>
      <xdr:row>128</xdr:row>
      <xdr:rowOff>277813</xdr:rowOff>
    </xdr:from>
    <xdr:to>
      <xdr:col>13</xdr:col>
      <xdr:colOff>978577</xdr:colOff>
      <xdr:row>132</xdr:row>
      <xdr:rowOff>32885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261938</xdr:colOff>
      <xdr:row>132</xdr:row>
      <xdr:rowOff>127000</xdr:rowOff>
    </xdr:from>
    <xdr:to>
      <xdr:col>13</xdr:col>
      <xdr:colOff>1010328</xdr:colOff>
      <xdr:row>135</xdr:row>
      <xdr:rowOff>263072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246063</xdr:colOff>
      <xdr:row>135</xdr:row>
      <xdr:rowOff>285750</xdr:rowOff>
    </xdr:from>
    <xdr:to>
      <xdr:col>13</xdr:col>
      <xdr:colOff>994453</xdr:colOff>
      <xdr:row>139</xdr:row>
      <xdr:rowOff>40822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214313</xdr:colOff>
      <xdr:row>139</xdr:row>
      <xdr:rowOff>71438</xdr:rowOff>
    </xdr:from>
    <xdr:to>
      <xdr:col>13</xdr:col>
      <xdr:colOff>962703</xdr:colOff>
      <xdr:row>142</xdr:row>
      <xdr:rowOff>207510</xdr:rowOff>
    </xdr:to>
    <xdr:graphicFrame macro="">
      <xdr:nvGraphicFramePr>
        <xdr:cNvPr id="13" name="Gráfico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246063</xdr:colOff>
      <xdr:row>142</xdr:row>
      <xdr:rowOff>269875</xdr:rowOff>
    </xdr:from>
    <xdr:to>
      <xdr:col>13</xdr:col>
      <xdr:colOff>994453</xdr:colOff>
      <xdr:row>146</xdr:row>
      <xdr:rowOff>24947</xdr:rowOff>
    </xdr:to>
    <xdr:graphicFrame macro="">
      <xdr:nvGraphicFramePr>
        <xdr:cNvPr id="14" name="Gráfico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254000</xdr:colOff>
      <xdr:row>146</xdr:row>
      <xdr:rowOff>63500</xdr:rowOff>
    </xdr:from>
    <xdr:to>
      <xdr:col>13</xdr:col>
      <xdr:colOff>1002390</xdr:colOff>
      <xdr:row>149</xdr:row>
      <xdr:rowOff>199572</xdr:rowOff>
    </xdr:to>
    <xdr:graphicFrame macro="">
      <xdr:nvGraphicFramePr>
        <xdr:cNvPr id="15" name="Gráfico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230188</xdr:colOff>
      <xdr:row>149</xdr:row>
      <xdr:rowOff>269875</xdr:rowOff>
    </xdr:from>
    <xdr:to>
      <xdr:col>13</xdr:col>
      <xdr:colOff>978578</xdr:colOff>
      <xdr:row>153</xdr:row>
      <xdr:rowOff>24947</xdr:rowOff>
    </xdr:to>
    <xdr:graphicFrame macro="">
      <xdr:nvGraphicFramePr>
        <xdr:cNvPr id="16" name="Gráfico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1339169</xdr:colOff>
      <xdr:row>104</xdr:row>
      <xdr:rowOff>214766</xdr:rowOff>
    </xdr:from>
    <xdr:to>
      <xdr:col>15</xdr:col>
      <xdr:colOff>696909</xdr:colOff>
      <xdr:row>107</xdr:row>
      <xdr:rowOff>350838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111125</xdr:colOff>
      <xdr:row>104</xdr:row>
      <xdr:rowOff>231775</xdr:rowOff>
    </xdr:from>
    <xdr:to>
      <xdr:col>17</xdr:col>
      <xdr:colOff>630915</xdr:colOff>
      <xdr:row>107</xdr:row>
      <xdr:rowOff>367847</xdr:rowOff>
    </xdr:to>
    <xdr:graphicFrame macro="">
      <xdr:nvGraphicFramePr>
        <xdr:cNvPr id="22" name="Gráfico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193675</xdr:colOff>
      <xdr:row>104</xdr:row>
      <xdr:rowOff>268288</xdr:rowOff>
    </xdr:from>
    <xdr:to>
      <xdr:col>19</xdr:col>
      <xdr:colOff>942065</xdr:colOff>
      <xdr:row>108</xdr:row>
      <xdr:rowOff>23360</xdr:rowOff>
    </xdr:to>
    <xdr:graphicFrame macro="">
      <xdr:nvGraphicFramePr>
        <xdr:cNvPr id="23" name="Gráfico 2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112713</xdr:colOff>
      <xdr:row>115</xdr:row>
      <xdr:rowOff>238125</xdr:rowOff>
    </xdr:from>
    <xdr:to>
      <xdr:col>15</xdr:col>
      <xdr:colOff>861103</xdr:colOff>
      <xdr:row>118</xdr:row>
      <xdr:rowOff>374197</xdr:rowOff>
    </xdr:to>
    <xdr:graphicFrame macro="">
      <xdr:nvGraphicFramePr>
        <xdr:cNvPr id="25" name="Gráfico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188913</xdr:colOff>
      <xdr:row>115</xdr:row>
      <xdr:rowOff>228601</xdr:rowOff>
    </xdr:from>
    <xdr:to>
      <xdr:col>17</xdr:col>
      <xdr:colOff>708703</xdr:colOff>
      <xdr:row>118</xdr:row>
      <xdr:rowOff>364673</xdr:rowOff>
    </xdr:to>
    <xdr:graphicFrame macro="">
      <xdr:nvGraphicFramePr>
        <xdr:cNvPr id="26" name="Gráfico 2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206375</xdr:colOff>
      <xdr:row>115</xdr:row>
      <xdr:rowOff>250825</xdr:rowOff>
    </xdr:from>
    <xdr:to>
      <xdr:col>19</xdr:col>
      <xdr:colOff>954765</xdr:colOff>
      <xdr:row>119</xdr:row>
      <xdr:rowOff>5897</xdr:rowOff>
    </xdr:to>
    <xdr:graphicFrame macro="">
      <xdr:nvGraphicFramePr>
        <xdr:cNvPr id="27" name="Gráfico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87313</xdr:colOff>
      <xdr:row>126</xdr:row>
      <xdr:rowOff>269875</xdr:rowOff>
    </xdr:from>
    <xdr:to>
      <xdr:col>15</xdr:col>
      <xdr:colOff>835703</xdr:colOff>
      <xdr:row>130</xdr:row>
      <xdr:rowOff>24947</xdr:rowOff>
    </xdr:to>
    <xdr:graphicFrame macro="">
      <xdr:nvGraphicFramePr>
        <xdr:cNvPr id="28" name="Gráfico 27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269875</xdr:colOff>
      <xdr:row>126</xdr:row>
      <xdr:rowOff>293688</xdr:rowOff>
    </xdr:from>
    <xdr:to>
      <xdr:col>17</xdr:col>
      <xdr:colOff>780140</xdr:colOff>
      <xdr:row>130</xdr:row>
      <xdr:rowOff>48760</xdr:rowOff>
    </xdr:to>
    <xdr:graphicFrame macro="">
      <xdr:nvGraphicFramePr>
        <xdr:cNvPr id="29" name="Gráfico 28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468312</xdr:colOff>
      <xdr:row>126</xdr:row>
      <xdr:rowOff>277813</xdr:rowOff>
    </xdr:from>
    <xdr:to>
      <xdr:col>19</xdr:col>
      <xdr:colOff>1216702</xdr:colOff>
      <xdr:row>130</xdr:row>
      <xdr:rowOff>32885</xdr:rowOff>
    </xdr:to>
    <xdr:graphicFrame macro="">
      <xdr:nvGraphicFramePr>
        <xdr:cNvPr id="31" name="Gráfico 30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1377723</xdr:colOff>
      <xdr:row>136</xdr:row>
      <xdr:rowOff>276679</xdr:rowOff>
    </xdr:from>
    <xdr:to>
      <xdr:col>15</xdr:col>
      <xdr:colOff>738185</xdr:colOff>
      <xdr:row>140</xdr:row>
      <xdr:rowOff>31751</xdr:rowOff>
    </xdr:to>
    <xdr:graphicFrame macro="">
      <xdr:nvGraphicFramePr>
        <xdr:cNvPr id="32" name="Gráfico 31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137205</xdr:colOff>
      <xdr:row>136</xdr:row>
      <xdr:rowOff>285750</xdr:rowOff>
    </xdr:from>
    <xdr:to>
      <xdr:col>17</xdr:col>
      <xdr:colOff>654274</xdr:colOff>
      <xdr:row>140</xdr:row>
      <xdr:rowOff>40822</xdr:rowOff>
    </xdr:to>
    <xdr:graphicFrame macro="">
      <xdr:nvGraphicFramePr>
        <xdr:cNvPr id="33" name="Gráfico 32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295956</xdr:colOff>
      <xdr:row>136</xdr:row>
      <xdr:rowOff>343581</xdr:rowOff>
    </xdr:from>
    <xdr:to>
      <xdr:col>19</xdr:col>
      <xdr:colOff>1044346</xdr:colOff>
      <xdr:row>140</xdr:row>
      <xdr:rowOff>98653</xdr:rowOff>
    </xdr:to>
    <xdr:graphicFrame macro="">
      <xdr:nvGraphicFramePr>
        <xdr:cNvPr id="35" name="Gráfico 34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127000</xdr:colOff>
      <xdr:row>146</xdr:row>
      <xdr:rowOff>305593</xdr:rowOff>
    </xdr:from>
    <xdr:to>
      <xdr:col>15</xdr:col>
      <xdr:colOff>875390</xdr:colOff>
      <xdr:row>150</xdr:row>
      <xdr:rowOff>60665</xdr:rowOff>
    </xdr:to>
    <xdr:graphicFrame macro="">
      <xdr:nvGraphicFramePr>
        <xdr:cNvPr id="37" name="Gráfico 36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265907</xdr:colOff>
      <xdr:row>146</xdr:row>
      <xdr:rowOff>337345</xdr:rowOff>
    </xdr:from>
    <xdr:to>
      <xdr:col>17</xdr:col>
      <xdr:colOff>776172</xdr:colOff>
      <xdr:row>150</xdr:row>
      <xdr:rowOff>92417</xdr:rowOff>
    </xdr:to>
    <xdr:graphicFrame macro="">
      <xdr:nvGraphicFramePr>
        <xdr:cNvPr id="39" name="Gráfico 38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18</xdr:col>
      <xdr:colOff>337344</xdr:colOff>
      <xdr:row>146</xdr:row>
      <xdr:rowOff>257969</xdr:rowOff>
    </xdr:from>
    <xdr:to>
      <xdr:col>19</xdr:col>
      <xdr:colOff>1085734</xdr:colOff>
      <xdr:row>150</xdr:row>
      <xdr:rowOff>13041</xdr:rowOff>
    </xdr:to>
    <xdr:graphicFrame macro="">
      <xdr:nvGraphicFramePr>
        <xdr:cNvPr id="41" name="Gráfico 40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281745</xdr:colOff>
      <xdr:row>72</xdr:row>
      <xdr:rowOff>25950</xdr:rowOff>
    </xdr:from>
    <xdr:ext cx="2025739" cy="3537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=""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2377245" y="25634593"/>
              <a:ext cx="2025739" cy="353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𝑒𝑐𝑐</m:t>
                        </m:r>
                      </m:sub>
                    </m:sSub>
                    <m:r>
                      <a:rPr lang="es-ES" sz="105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 </m:t>
                            </m:r>
                            <m:sSub>
                              <m:sSub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𝑒𝑐𝑐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.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</m:t>
                            </m:r>
                          </m:e>
                          <m: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</m:sub>
                        </m:sSub>
                      </m:num>
                      <m:den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𝑒𝑐𝑐</m:t>
                            </m:r>
                            <m:rad>
                              <m:radPr>
                                <m:degHide m:val="on"/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e>
                            </m:rad>
                          </m:sub>
                        </m:sSub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s-CO" sz="1000" b="1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2377245" y="25634593"/>
              <a:ext cx="2025739" cy="353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𝑒𝑐𝑐)=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 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𝑒𝑐𝑐.𝑖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|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𝑚𝑎𝑥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2𝐿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1000" b="1"/>
            </a:p>
          </xdr:txBody>
        </xdr:sp>
      </mc:Fallback>
    </mc:AlternateContent>
    <xdr:clientData/>
  </xdr:oneCellAnchor>
  <xdr:oneCellAnchor>
    <xdr:from>
      <xdr:col>10</xdr:col>
      <xdr:colOff>379344</xdr:colOff>
      <xdr:row>80</xdr:row>
      <xdr:rowOff>192983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3714344" y="320541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/>
        </a:p>
      </xdr:txBody>
    </xdr:sp>
    <xdr:clientData/>
  </xdr:oneCellAnchor>
  <xdr:oneCellAnchor>
    <xdr:from>
      <xdr:col>1</xdr:col>
      <xdr:colOff>256442</xdr:colOff>
      <xdr:row>59</xdr:row>
      <xdr:rowOff>117231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142267" y="2500605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190625" y="221844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36370</xdr:colOff>
      <xdr:row>38</xdr:row>
      <xdr:rowOff>2596</xdr:rowOff>
    </xdr:from>
    <xdr:ext cx="796052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922195" y="15042571"/>
              <a:ext cx="796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</a:rPr>
                    <m:t> 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d>
                        <m:dPr>
                          <m:begChr m:val="|"/>
                          <m:endChr m:val="|"/>
                          <m:ctrlPr>
                            <a:rPr lang="es-CO" sz="12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∆</m:t>
                              </m:r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𝑰</m:t>
                              </m:r>
                            </m:e>
                            <m:sub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𝒆𝒄𝒄</m:t>
                              </m:r>
                            </m:sub>
                          </m:sSub>
                        </m:e>
                      </m:d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</a:rPr>
                        <m:t>𝒎𝒂𝒙</m:t>
                      </m:r>
                    </m:sub>
                  </m:sSub>
                </m:oMath>
              </a14:m>
              <a:r>
                <a:rPr lang="es-CO" sz="1100" b="1" i="1"/>
                <a:t> </a:t>
              </a:r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922195" y="15042571"/>
              <a:ext cx="796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</a:rPr>
                <a:t> </a:t>
              </a:r>
              <a:r>
                <a:rPr lang="es-CO" sz="12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|〖∆𝑰〗_𝒆𝒄𝒄 |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CO" sz="1400" b="1" i="0">
                  <a:latin typeface="Cambria Math" panose="02040503050406030204" pitchFamily="18" charset="0"/>
                </a:rPr>
                <a:t>𝒎𝒂𝒙</a:t>
              </a:r>
              <a:r>
                <a:rPr lang="es-CO" sz="1100" b="1" i="1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272761</xdr:colOff>
      <xdr:row>75</xdr:row>
      <xdr:rowOff>19050</xdr:rowOff>
    </xdr:from>
    <xdr:ext cx="2314575" cy="3619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="" xmlns:a16="http://schemas.microsoft.com/office/drawing/2014/main" id="{00000000-0008-0000-0200-000007000000}"/>
                </a:ext>
              </a:extLst>
            </xdr:cNvPr>
            <xdr:cNvSpPr txBox="1"/>
          </xdr:nvSpPr>
          <xdr:spPr>
            <a:xfrm>
              <a:off x="2177761" y="25527000"/>
              <a:ext cx="2314575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𝒖</m:t>
                        </m:r>
                      </m:e>
                      <m:sup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𝑰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p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den>
                    </m:f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</m:d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 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acc>
                          <m:accPr>
                            <m:chr m:val="̂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𝑤</m:t>
                            </m:r>
                          </m:e>
                        </m:acc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𝑒𝑐𝑐</m:t>
                            </m:r>
                          </m:sub>
                        </m:sSub>
                      </m:e>
                    </m:d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endParaRPr lang="es-CO" sz="1000" b="1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2177761" y="25527000"/>
              <a:ext cx="2314575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(𝑰)=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𝑑^2/6+𝑠^2 (𝐼)+ 𝑤 ̂^2 (𝛿𝐼_𝑒𝑐𝑐 ) 𝐼^2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endParaRPr lang="es-CO" sz="1000" b="1"/>
            </a:p>
          </xdr:txBody>
        </xdr:sp>
      </mc:Fallback>
    </mc:AlternateContent>
    <xdr:clientData/>
  </xdr:oneCellAnchor>
  <xdr:oneCellAnchor>
    <xdr:from>
      <xdr:col>2</xdr:col>
      <xdr:colOff>334242</xdr:colOff>
      <xdr:row>74</xdr:row>
      <xdr:rowOff>37234</xdr:rowOff>
    </xdr:from>
    <xdr:ext cx="1962150" cy="3619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="" xmlns:a16="http://schemas.microsoft.com/office/drawing/2014/main" id="{00000000-0008-0000-0200-000008000000}"/>
                </a:ext>
              </a:extLst>
            </xdr:cNvPr>
            <xdr:cNvSpPr txBox="1"/>
          </xdr:nvSpPr>
          <xdr:spPr>
            <a:xfrm>
              <a:off x="2239242" y="25145134"/>
              <a:ext cx="1962150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𝑑𝑖𝑔</m:t>
                            </m:r>
                          </m:sub>
                        </m:sSub>
                      </m:e>
                    </m:d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begChr m:val="⌈"/>
                        <m:endChr m:val="⌉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num>
                          <m:den>
                            <m:r>
                              <a:rPr lang="es-ES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ad>
                              <m:radPr>
                                <m:degHide m:val="on"/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s-ES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e>
                            </m:rad>
                          </m:den>
                        </m:f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2 </m:t>
                        </m:r>
                      </m:e>
                    </m:rad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</m:t>
                    </m:r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2239242" y="25145134"/>
              <a:ext cx="1962150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𝑑𝑖𝑔 )=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⌈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⌉∗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=𝑑/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420832</xdr:colOff>
      <xdr:row>73</xdr:row>
      <xdr:rowOff>95250</xdr:rowOff>
    </xdr:from>
    <xdr:ext cx="1304925" cy="295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=""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2325832" y="24803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𝑟𝑒𝑝</m:t>
                        </m:r>
                      </m:sub>
                    </m:sSub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𝑠</m:t>
                    </m:r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𝑗</m:t>
                        </m:r>
                      </m:sub>
                    </m:sSub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)⁄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2325832" y="24803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𝑟𝑒𝑝)=𝑠(𝐼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𝑗)⁄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367516</xdr:colOff>
      <xdr:row>80</xdr:row>
      <xdr:rowOff>91540</xdr:rowOff>
    </xdr:from>
    <xdr:ext cx="2714625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=""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2463016" y="29183611"/>
              <a:ext cx="2714625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sSub>
                      <m:sSub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2463016" y="29183611"/>
              <a:ext cx="2714625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〖(𝑚〗_𝑟𝑒𝑓)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𝛿𝑚_𝑐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𝛿𝑚_𝐵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)+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𝛿𝑚_𝐷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77437</xdr:colOff>
      <xdr:row>77</xdr:row>
      <xdr:rowOff>65314</xdr:rowOff>
    </xdr:from>
    <xdr:ext cx="1304925" cy="295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=""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3220687" y="27851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)=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𝑈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𝐾</m:t>
                    </m:r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3220687" y="27851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  )=𝑈/𝐾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129268</xdr:colOff>
      <xdr:row>99</xdr:row>
      <xdr:rowOff>81643</xdr:rowOff>
    </xdr:from>
    <xdr:ext cx="4102554" cy="285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=""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1177018" y="36943393"/>
              <a:ext cx="4102554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INVERSA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T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STUDEND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.2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C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(100</m:t>
                    </m:r>
                    <m:r>
                      <a:rPr lang="es-CO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%−95,45%  ;</m:t>
                    </m:r>
                    <m:sSub>
                      <m:sSubPr>
                        <m:ctrlP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1177018" y="36943393"/>
              <a:ext cx="4102554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INVERSA.T STUDEND.2C(100%−95,45%  ;</a:t>
              </a:r>
              <a:r>
                <a:rPr lang="es-CO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𝑣_(𝑒𝑓𝑓(𝐸))</a:t>
              </a:r>
              <a:endParaRPr lang="es-CO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860096</xdr:colOff>
      <xdr:row>78</xdr:row>
      <xdr:rowOff>39832</xdr:rowOff>
    </xdr:from>
    <xdr:ext cx="2238374" cy="3238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="" xmlns:a16="http://schemas.microsoft.com/office/drawing/2014/main" id="{00000000-0008-0000-0200-00000D000000}"/>
                </a:ext>
              </a:extLst>
            </xdr:cNvPr>
            <xdr:cNvSpPr txBox="1"/>
          </xdr:nvSpPr>
          <xdr:spPr>
            <a:xfrm>
              <a:off x="2955596" y="28261046"/>
              <a:ext cx="2238374" cy="323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𝛿</m:t>
                            </m:r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</m:t>
                            </m:r>
                          </m:sub>
                        </m:s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𝐸𝑀𝑃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rad>
                          <m:radPr>
                            <m:deg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e>
                        </m:rad>
                      </m:den>
                    </m:f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𝑈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4∗</m:t>
                        </m:r>
                        <m:rad>
                          <m:radPr>
                            <m:deg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2955596" y="28261046"/>
              <a:ext cx="2238374" cy="323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𝐵  )=𝐸𝑀𝑃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70509</xdr:colOff>
      <xdr:row>79</xdr:row>
      <xdr:rowOff>56655</xdr:rowOff>
    </xdr:from>
    <xdr:ext cx="186690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="" xmlns:a16="http://schemas.microsoft.com/office/drawing/2014/main" id="{00000000-0008-0000-0200-00000E000000}"/>
                </a:ext>
              </a:extLst>
            </xdr:cNvPr>
            <xdr:cNvSpPr txBox="1"/>
          </xdr:nvSpPr>
          <xdr:spPr>
            <a:xfrm>
              <a:off x="3213759" y="28713298"/>
              <a:ext cx="186690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𝛿</m:t>
                            </m:r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sub>
                        </m:s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𝐸𝑀𝑃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e>
                    </m:ra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𝑈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3213759" y="28713298"/>
              <a:ext cx="186690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  )=𝐸𝑀𝑃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3=𝑈/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758611</xdr:colOff>
      <xdr:row>82</xdr:row>
      <xdr:rowOff>85725</xdr:rowOff>
    </xdr:from>
    <xdr:ext cx="1851239" cy="2381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="" xmlns:a16="http://schemas.microsoft.com/office/drawing/2014/main" id="{00000000-0008-0000-0200-00000F000000}"/>
                </a:ext>
              </a:extLst>
            </xdr:cNvPr>
            <xdr:cNvSpPr txBox="1"/>
          </xdr:nvSpPr>
          <xdr:spPr>
            <a:xfrm>
              <a:off x="2854111" y="30241875"/>
              <a:ext cx="1851239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𝐸</m:t>
                    </m:r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</m:d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 </m:t>
                    </m:r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𝑟𝑒𝑓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2854111" y="30241875"/>
              <a:ext cx="1851239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(𝐸)=𝑢^2 (𝐼)+ 𝑢^2 (𝑚_𝑟𝑒𝑓 )</a:t>
              </a: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693570</xdr:colOff>
      <xdr:row>95</xdr:row>
      <xdr:rowOff>407242</xdr:rowOff>
    </xdr:from>
    <xdr:ext cx="1399595" cy="6706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200-000010000000}"/>
                </a:ext>
              </a:extLst>
            </xdr:cNvPr>
            <xdr:cNvSpPr txBox="1"/>
          </xdr:nvSpPr>
          <xdr:spPr>
            <a:xfrm>
              <a:off x="2789070" y="36449842"/>
              <a:ext cx="1399595" cy="670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b>
                    </m:sSub>
                    <m:r>
                      <a:rPr lang="es-CO" sz="1100" b="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f>
                      <m:f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</m:sub>
                          <m:sup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bSup>
                      </m:num>
                      <m:den>
                        <m:f>
                          <m:f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sub>
                              <m:sup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b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sub>
                                </m:sSub>
                              </m:sub>
                            </m:sSub>
                          </m:den>
                        </m:f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𝑟𝑒𝑓</m:t>
                                    </m:r>
                                  </m:sub>
                                </m:sSub>
                              </m:sub>
                              <m:sup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b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e>
                                  <m:sub>
                                    <m:sSub>
                                      <m:sSubPr>
                                        <m:ctrlP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𝑚</m:t>
                                        </m:r>
                                      </m:e>
                                      <m:sub>
                                        <m: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𝑟𝑒𝑓</m:t>
                                        </m:r>
                                      </m:sub>
                                    </m:sSub>
                                  </m:sub>
                                </m:sSub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es-CO" sz="14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6" name="CuadroTexto 15"/>
            <xdr:cNvSpPr txBox="1"/>
          </xdr:nvSpPr>
          <xdr:spPr>
            <a:xfrm>
              <a:off x="2789070" y="36449842"/>
              <a:ext cx="1399595" cy="670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𝑣_(𝑒𝑓𝑓(𝐸))</a:t>
              </a:r>
              <a:r>
                <a:rPr lang="es-CO" sz="1100" b="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</a:t>
              </a: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(𝑢_𝐸^4)/((𝑢_𝐼^4)/𝑣_(𝑖_𝐼 ) +(𝑢_(𝑚_𝑟𝑒𝑓)^4)/𝑣_(𝑖_(𝑚_𝑟𝑒𝑓 ) ) )</a:t>
              </a:r>
              <a:endParaRPr lang="es-CO" sz="14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611241</xdr:colOff>
      <xdr:row>93</xdr:row>
      <xdr:rowOff>425708</xdr:rowOff>
    </xdr:from>
    <xdr:ext cx="3444551" cy="6298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="" xmlns:a16="http://schemas.microsoft.com/office/drawing/2014/main" id="{00000000-0008-0000-0200-000011000000}"/>
                </a:ext>
              </a:extLst>
            </xdr:cNvPr>
            <xdr:cNvSpPr txBox="1"/>
          </xdr:nvSpPr>
          <xdr:spPr>
            <a:xfrm>
              <a:off x="1658991" y="34987851"/>
              <a:ext cx="3444551" cy="6298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sSub>
                      <m:sSubPr>
                        <m:ctrlPr>
                          <a:rPr lang="es-CO" sz="16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6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𝑟𝑒𝑓</m:t>
                        </m:r>
                      </m:sub>
                    </m:sSub>
                    <m:r>
                      <a:rPr lang="es-CO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05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s-CO" sz="16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𝑟𝑒𝑓</m:t>
                                </m:r>
                              </m:sub>
                            </m:sSub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f>
                              <m:f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𝐶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𝑣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𝑒𝑓𝑓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sSub>
                                  <m:sSubPr>
                                    <m:ctrlP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den>
                            </m:f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𝐵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𝐵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𝐷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𝐷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s-CO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658991" y="34987851"/>
              <a:ext cx="3444551" cy="6298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〖</a:t>
              </a:r>
              <a:r>
                <a:rPr lang="es-ES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𝑚〗_𝑟𝑒𝑓)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=〖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𝑚_𝑟𝑒𝑓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〗^4/(〖(〖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𝑚〗_𝐶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(𝑚_𝑐)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)〗^4+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𝑚〗_𝐵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(𝑚_𝐵)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𝑚〗_𝐷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(𝑚_𝐷)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952889</xdr:colOff>
      <xdr:row>89</xdr:row>
      <xdr:rowOff>57150</xdr:rowOff>
    </xdr:from>
    <xdr:ext cx="2819400" cy="552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="" xmlns:a16="http://schemas.microsoft.com/office/drawing/2014/main" id="{00000000-0008-0000-0200-000012000000}"/>
                </a:ext>
              </a:extLst>
            </xdr:cNvPr>
            <xdr:cNvSpPr txBox="1"/>
          </xdr:nvSpPr>
          <xdr:spPr>
            <a:xfrm>
              <a:off x="2000639" y="32966025"/>
              <a:ext cx="28194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𝐼</m:t>
                    </m:r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num>
                      <m:den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f>
                              <m:f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𝑐𝑐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𝑣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𝑒𝑓𝑓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𝑒𝑐𝑐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den>
                            </m:f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𝑟𝑒𝑝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−1</m:t>
                            </m:r>
                          </m:den>
                        </m:f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𝑑𝑖𝑔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𝑑𝑖𝑔</m:t>
                            </m:r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s-CO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2000639" y="32966025"/>
              <a:ext cx="28194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(𝐼)=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𝑢^4 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))/(〖(〖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𝑐𝑐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(𝑒𝑐𝑐)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)〗^4+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𝑟𝑒𝑝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〗^4/(𝑛 −1)+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𝑑𝑖𝑔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(𝑑𝑖𝑔)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820371</xdr:colOff>
      <xdr:row>103</xdr:row>
      <xdr:rowOff>76200</xdr:rowOff>
    </xdr:from>
    <xdr:ext cx="1198929" cy="3010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="" xmlns:a16="http://schemas.microsoft.com/office/drawing/2014/main" id="{00000000-0008-0000-0200-000013000000}"/>
                </a:ext>
              </a:extLst>
            </xdr:cNvPr>
            <xdr:cNvSpPr txBox="1"/>
          </xdr:nvSpPr>
          <xdr:spPr>
            <a:xfrm>
              <a:off x="3963621" y="38119050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𝑈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)∗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𝑘</m:t>
                  </m:r>
                </m:oMath>
              </a14:m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3963621" y="38119050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(𝐸)</a:t>
              </a:r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 𝑢(𝐸)∗𝑘</a:t>
              </a:r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4</xdr:col>
      <xdr:colOff>63743</xdr:colOff>
      <xdr:row>108</xdr:row>
      <xdr:rowOff>0</xdr:rowOff>
    </xdr:from>
    <xdr:ext cx="1717432" cy="34363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="" xmlns:a16="http://schemas.microsoft.com/office/drawing/2014/main" id="{00000000-0008-0000-0200-000014000000}"/>
                </a:ext>
              </a:extLst>
            </xdr:cNvPr>
            <xdr:cNvSpPr txBox="1"/>
          </xdr:nvSpPr>
          <xdr:spPr>
            <a:xfrm>
              <a:off x="4492868" y="42214800"/>
              <a:ext cx="1717432" cy="3436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 + 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u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2(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Eappr</m:t>
                        </m:r>
                        <m:r>
                          <m:rPr>
                            <m:nor/>
                          </m:rPr>
                          <a:rPr lang="es-CO" sz="105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>
                            <a:effectLst/>
                          </a:rPr>
                          <m:t> </m:t>
                        </m:r>
                      </m:e>
                    </m:rad>
                  </m:oMath>
                </m:oMathPara>
              </a14:m>
              <a:endParaRPr lang="es-CO" sz="1050"/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4492868" y="42214800"/>
              <a:ext cx="1717432" cy="3436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050" i="0">
                  <a:latin typeface="Cambria Math" panose="02040503050406030204" pitchFamily="18" charset="0"/>
                </a:rPr>
                <a:t>√(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(𝑅(𝑑 𝑦 𝑠)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+ u2(Eappr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1050" i="0">
                  <a:effectLst/>
                </a:rPr>
                <a:t> </a:t>
              </a:r>
              <a:r>
                <a:rPr lang="es-CO" sz="1050" i="0">
                  <a:effectLst/>
                  <a:latin typeface="Cambria Math" panose="02040503050406030204" pitchFamily="18" charset="0"/>
                </a:rPr>
                <a:t>" )</a:t>
              </a:r>
              <a:endParaRPr lang="es-CO" sz="1050"/>
            </a:p>
          </xdr:txBody>
        </xdr:sp>
      </mc:Fallback>
    </mc:AlternateContent>
    <xdr:clientData/>
  </xdr:oneCellAnchor>
  <xdr:oneCellAnchor>
    <xdr:from>
      <xdr:col>0</xdr:col>
      <xdr:colOff>206953</xdr:colOff>
      <xdr:row>107</xdr:row>
      <xdr:rowOff>396585</xdr:rowOff>
    </xdr:from>
    <xdr:ext cx="561109" cy="3961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="" xmlns:a16="http://schemas.microsoft.com/office/drawing/2014/main" id="{00000000-0008-0000-0200-000015000000}"/>
                </a:ext>
              </a:extLst>
            </xdr:cNvPr>
            <xdr:cNvSpPr txBox="1"/>
          </xdr:nvSpPr>
          <xdr:spPr>
            <a:xfrm>
              <a:off x="1092778" y="42211335"/>
              <a:ext cx="561109" cy="396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f>
                          <m:f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sSup>
                              <m:sSup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p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1" name="CuadroTexto 20"/>
            <xdr:cNvSpPr txBox="1"/>
          </xdr:nvSpPr>
          <xdr:spPr>
            <a:xfrm>
              <a:off x="1092778" y="42211335"/>
              <a:ext cx="561109" cy="396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i="0">
                  <a:latin typeface="Cambria Math" panose="02040503050406030204" pitchFamily="18" charset="0"/>
                </a:rPr>
                <a:t>〖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(1/(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(𝐸))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</a:t>
              </a:r>
              <a:r>
                <a:rPr lang="es-CO" sz="1100" b="0" i="0">
                  <a:latin typeface="Cambria Math" panose="02040503050406030204" pitchFamily="18" charset="0"/>
                </a:rPr>
                <a:t>2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179242</xdr:colOff>
      <xdr:row>108</xdr:row>
      <xdr:rowOff>92652</xdr:rowOff>
    </xdr:from>
    <xdr:ext cx="609911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="" xmlns:a16="http://schemas.microsoft.com/office/drawing/2014/main" id="{00000000-0008-0000-0200-000016000000}"/>
                </a:ext>
              </a:extLst>
            </xdr:cNvPr>
            <xdr:cNvSpPr txBox="1"/>
          </xdr:nvSpPr>
          <xdr:spPr>
            <a:xfrm>
              <a:off x="1950892" y="42307452"/>
              <a:ext cx="60991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p *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1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s-CO" sz="11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</m:acc>
                </m:oMath>
              </a14:m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 *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</m:e>
                    <m:sub>
                      <m:acc>
                        <m:accPr>
                          <m:chr m:val="̅"/>
                          <m:ctrlPr>
                            <a:rPr lang="es-CO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es-CO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𝐼</m:t>
                          </m:r>
                        </m:e>
                      </m:acc>
                    </m:sub>
                  </m:sSub>
                  <m:r>
                    <a:rPr lang="es-CO" sz="1100" i="1">
                      <a:latin typeface="Cambria Math" panose="02040503050406030204" pitchFamily="18" charset="0"/>
                    </a:rPr>
                    <m:t> 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950892" y="42307452"/>
              <a:ext cx="60991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p * </a:t>
              </a:r>
              <a:r>
                <a:rPr lang="es-CO" sz="1100" b="0" i="0">
                  <a:latin typeface="Cambria Math" panose="02040503050406030204" pitchFamily="18" charset="0"/>
                </a:rPr>
                <a:t>𝐼 ̅</a:t>
              </a:r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 * 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𝐸_𝐼 ̅  </a:t>
              </a:r>
              <a:r>
                <a:rPr lang="es-CO" sz="1100" i="0">
                  <a:latin typeface="Cambria Math" panose="02040503050406030204" pitchFamily="18" charset="0"/>
                </a:rPr>
                <a:t> 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8</xdr:col>
      <xdr:colOff>365413</xdr:colOff>
      <xdr:row>53</xdr:row>
      <xdr:rowOff>127288</xdr:rowOff>
    </xdr:from>
    <xdr:ext cx="209609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="" xmlns:a16="http://schemas.microsoft.com/office/drawing/2014/main" id="{00000000-0008-0000-0200-000017000000}"/>
                </a:ext>
              </a:extLst>
            </xdr:cNvPr>
            <xdr:cNvSpPr txBox="1"/>
          </xdr:nvSpPr>
          <xdr:spPr>
            <a:xfrm>
              <a:off x="3908713" y="20215513"/>
              <a:ext cx="20960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3908713" y="20215513"/>
              <a:ext cx="20960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10</xdr:col>
      <xdr:colOff>536863</xdr:colOff>
      <xdr:row>53</xdr:row>
      <xdr:rowOff>112567</xdr:rowOff>
    </xdr:from>
    <xdr:ext cx="156261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="" xmlns:a16="http://schemas.microsoft.com/office/drawing/2014/main" id="{00000000-0008-0000-0200-000018000000}"/>
                </a:ext>
              </a:extLst>
            </xdr:cNvPr>
            <xdr:cNvSpPr txBox="1"/>
          </xdr:nvSpPr>
          <xdr:spPr>
            <a:xfrm>
              <a:off x="5851813" y="20200792"/>
              <a:ext cx="15626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1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s-CO" sz="11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</m:acc>
                </m:oMath>
              </a14:m>
              <a:r>
                <a:rPr lang="es-CO" sz="1100"/>
                <a:t> g</a:t>
              </a: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5851813" y="20200792"/>
              <a:ext cx="15626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0" i="0">
                  <a:latin typeface="Cambria Math" panose="02040503050406030204" pitchFamily="18" charset="0"/>
                </a:rPr>
                <a:t>𝐼 ̅</a:t>
              </a:r>
              <a:r>
                <a:rPr lang="es-CO" sz="1100"/>
                <a:t> g</a:t>
              </a:r>
            </a:p>
          </xdr:txBody>
        </xdr:sp>
      </mc:Fallback>
    </mc:AlternateContent>
    <xdr:clientData/>
  </xdr:oneCellAnchor>
  <xdr:oneCellAnchor>
    <xdr:from>
      <xdr:col>11</xdr:col>
      <xdr:colOff>502227</xdr:colOff>
      <xdr:row>53</xdr:row>
      <xdr:rowOff>103908</xdr:rowOff>
    </xdr:from>
    <xdr:ext cx="327847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="" xmlns:a16="http://schemas.microsoft.com/office/drawing/2014/main" id="{00000000-0008-0000-0200-000019000000}"/>
                </a:ext>
              </a:extLst>
            </xdr:cNvPr>
            <xdr:cNvSpPr txBox="1"/>
          </xdr:nvSpPr>
          <xdr:spPr>
            <a:xfrm>
              <a:off x="6703002" y="20192133"/>
              <a:ext cx="32784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𝑚𝑔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6703002" y="20192133"/>
              <a:ext cx="32784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𝑚𝑔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2</xdr:col>
      <xdr:colOff>254045</xdr:colOff>
      <xdr:row>108</xdr:row>
      <xdr:rowOff>96582</xdr:rowOff>
    </xdr:from>
    <xdr:ext cx="441852" cy="1841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="" xmlns:a16="http://schemas.microsoft.com/office/drawing/2014/main" id="{00000000-0008-0000-0200-00001A000000}"/>
                </a:ext>
              </a:extLst>
            </xdr:cNvPr>
            <xdr:cNvSpPr txBox="1"/>
          </xdr:nvSpPr>
          <xdr:spPr>
            <a:xfrm>
              <a:off x="2911520" y="42311382"/>
              <a:ext cx="441852" cy="184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es-CO" sz="1200" b="0" i="1">
                          <a:latin typeface="Cambria Math" panose="02040503050406030204" pitchFamily="18" charset="0"/>
                          <a:cs typeface="Times New Roman" panose="02020603050405020304" pitchFamily="18" charset="0"/>
                        </a:rPr>
                      </m:ctrlPr>
                    </m:sSupPr>
                    <m:e>
                      <m:acc>
                        <m:accPr>
                          <m:chr m:val="̅"/>
                          <m:ctrlPr>
                            <a:rPr kumimoji="0" lang="es-CO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kumimoji="0" lang="es-CO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𝐼</m:t>
                          </m:r>
                        </m:e>
                      </m:acc>
                    </m:e>
                    <m:sup>
                      <m:r>
                        <a:rPr lang="es-CO" sz="1200" b="0" i="1">
                          <a:latin typeface="Cambria Math" panose="02040503050406030204" pitchFamily="18" charset="0"/>
                          <a:cs typeface="Times New Roman" panose="02020603050405020304" pitchFamily="18" charset="0"/>
                        </a:rPr>
                        <m:t>2</m:t>
                      </m:r>
                    </m:sup>
                  </m:sSup>
                  <m:r>
                    <a:rPr lang="es-CO" sz="1200" b="0" i="1">
                      <a:latin typeface="Cambria Math" panose="02040503050406030204" pitchFamily="18" charset="0"/>
                      <a:cs typeface="Times New Roman" panose="02020603050405020304" pitchFamily="18" charset="0"/>
                    </a:rPr>
                    <m:t>∗</m:t>
                  </m:r>
                  <m:r>
                    <a:rPr lang="es-CO" sz="1200" b="0" i="1">
                      <a:latin typeface="Cambria Math" panose="02040503050406030204" pitchFamily="18" charset="0"/>
                      <a:cs typeface="Times New Roman" panose="02020603050405020304" pitchFamily="18" charset="0"/>
                    </a:rPr>
                    <m:t>𝑝</m:t>
                  </m:r>
                </m:oMath>
              </a14:m>
              <a:r>
                <a:rPr lang="es-CO" sz="1200" b="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sz="1200" b="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2911520" y="42311382"/>
              <a:ext cx="441852" cy="184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0" lang="es-CO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𝐼 ̅</a:t>
              </a:r>
              <a:r>
                <a:rPr kumimoji="0" lang="es-CO" sz="12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s-CO" sz="1200" b="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2∗𝑝</a:t>
              </a:r>
              <a:r>
                <a:rPr lang="es-CO" sz="1200" b="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sz="1200" b="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0</xdr:col>
      <xdr:colOff>90640</xdr:colOff>
      <xdr:row>116</xdr:row>
      <xdr:rowOff>228600</xdr:rowOff>
    </xdr:from>
    <xdr:ext cx="789584" cy="1434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="" xmlns:a16="http://schemas.microsoft.com/office/drawing/2014/main" id="{00000000-0008-0000-0200-00001B000000}"/>
                </a:ext>
              </a:extLst>
            </xdr:cNvPr>
            <xdr:cNvSpPr txBox="1"/>
          </xdr:nvSpPr>
          <xdr:spPr>
            <a:xfrm>
              <a:off x="8253565" y="42043350"/>
              <a:ext cx="789584" cy="1434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l-GR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𝛴</m:t>
                  </m:r>
                </m:oMath>
              </a14:m>
              <a:r>
                <a:rPr lang="es-CO" sz="1100" b="0" i="1">
                  <a:solidFill>
                    <a:schemeClr val="bg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pIE </a:t>
              </a:r>
              <a14:m>
                <m:oMath xmlns:m="http://schemas.openxmlformats.org/officeDocument/2006/math"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/ </m:t>
                  </m:r>
                  <m:r>
                    <a:rPr lang="el-GR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𝛴</m:t>
                  </m:r>
                  <m:sSup>
                    <m:sSupPr>
                      <m:ctrlPr>
                        <a:rPr lang="el-GR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𝑝𝐼</m:t>
                      </m:r>
                    </m:e>
                    <m:sup>
                      <m:r>
                        <a:rPr lang="es-CO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253565" y="42043350"/>
              <a:ext cx="789584" cy="1434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𝛴</a:t>
              </a:r>
              <a:r>
                <a:rPr lang="es-CO" sz="1100" b="0" i="1">
                  <a:solidFill>
                    <a:schemeClr val="bg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pIE 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/ </a:t>
              </a:r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𝛴〖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𝑝𝐼</a:t>
              </a:r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0</xdr:col>
      <xdr:colOff>624477</xdr:colOff>
      <xdr:row>118</xdr:row>
      <xdr:rowOff>129886</xdr:rowOff>
    </xdr:from>
    <xdr:ext cx="441614" cy="1796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="" xmlns:a16="http://schemas.microsoft.com/office/drawing/2014/main" id="{00000000-0008-0000-0200-00001C000000}"/>
                </a:ext>
              </a:extLst>
            </xdr:cNvPr>
            <xdr:cNvSpPr txBox="1"/>
          </xdr:nvSpPr>
          <xdr:spPr>
            <a:xfrm>
              <a:off x="12155330" y="39440121"/>
              <a:ext cx="441614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</a:t>
              </a:r>
              <a:r>
                <a:rPr lang="el-GR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14:m>
                <m:oMath xmlns:m="http://schemas.openxmlformats.org/officeDocument/2006/math">
                  <m:r>
                    <a:rPr lang="es-CO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𝑝</m:t>
                  </m:r>
                  <m:sSup>
                    <m:sSupPr>
                      <m:ctrlP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</m:e>
                    <m:sup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endParaRPr lang="es-CO" sz="1100" b="0" i="1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2155330" y="39440121"/>
              <a:ext cx="441614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</a:t>
              </a:r>
              <a:r>
                <a:rPr lang="el-GR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𝑝𝐼^2</a:t>
              </a:r>
              <a:endParaRPr lang="es-CO" sz="1100" b="0" i="1"/>
            </a:p>
          </xdr:txBody>
        </xdr:sp>
      </mc:Fallback>
    </mc:AlternateContent>
    <xdr:clientData/>
  </xdr:oneCellAnchor>
  <xdr:oneCellAnchor>
    <xdr:from>
      <xdr:col>3</xdr:col>
      <xdr:colOff>17319</xdr:colOff>
      <xdr:row>117</xdr:row>
      <xdr:rowOff>121227</xdr:rowOff>
    </xdr:from>
    <xdr:ext cx="808875" cy="184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="" xmlns:a16="http://schemas.microsoft.com/office/drawing/2014/main" id="{00000000-0008-0000-0200-00001D000000}"/>
                </a:ext>
              </a:extLst>
            </xdr:cNvPr>
            <xdr:cNvSpPr txBox="1"/>
          </xdr:nvSpPr>
          <xdr:spPr>
            <a:xfrm>
              <a:off x="3360594" y="44517252"/>
              <a:ext cx="808875" cy="184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s</m:t>
                        </m:r>
                        <m:r>
                          <m:rPr>
                            <m:nor/>
                          </m:r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  </m:t>
                        </m:r>
                        <m:r>
                          <m:rPr>
                            <m:sty m:val="p"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m</m:t>
                        </m:r>
                        <m: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á</m:t>
                        </m:r>
                        <m:r>
                          <m:rPr>
                            <m:sty m:val="p"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xima</m:t>
                        </m:r>
                        <m:r>
                          <m:rPr>
                            <m:nor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Times New Roman" panose="02020603050405020304" pitchFamily="18" charset="0"/>
                            <a:ea typeface="+mn-ea"/>
                            <a:cs typeface="Times New Roman" panose="02020603050405020304" pitchFamily="18" charset="0"/>
                          </a:rPr>
                          <m:t>  </m:t>
                        </m:r>
                        <m:r>
                          <m:rPr>
                            <m:nor/>
                          </m:rPr>
                          <a:rPr lang="es-CO" b="0" i="1">
                            <a:solidFill>
                              <a:schemeClr val="bg1"/>
                            </a:solidFill>
                            <a:effectLst/>
                            <a:latin typeface="Times New Roman" panose="02020603050405020304" pitchFamily="18" charset="0"/>
                            <a:cs typeface="Times New Roman" panose="02020603050405020304" pitchFamily="18" charset="0"/>
                          </a:rPr>
                          <m:t> 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 b="0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18469" y="43136127"/>
              <a:ext cx="775725" cy="1751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〖"s  </a:t>
              </a:r>
              <a:r>
                <a:rPr lang="es-CO" sz="1100" b="0" i="0" baseline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maxima  </a:t>
              </a:r>
              <a:r>
                <a:rPr lang="es-CO" b="0" i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" 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〗^</a:t>
              </a:r>
              <a:r>
                <a:rPr lang="es-CO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2</a:t>
              </a:r>
              <a:endParaRPr lang="es-CO" sz="1100" b="0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67246</xdr:colOff>
      <xdr:row>118</xdr:row>
      <xdr:rowOff>15371</xdr:rowOff>
    </xdr:from>
    <xdr:ext cx="835559" cy="3473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="" xmlns:a16="http://schemas.microsoft.com/office/drawing/2014/main" id="{00000000-0008-0000-0200-00001E000000}"/>
                </a:ext>
              </a:extLst>
            </xdr:cNvPr>
            <xdr:cNvSpPr txBox="1"/>
          </xdr:nvSpPr>
          <xdr:spPr>
            <a:xfrm>
              <a:off x="10154221" y="43430321"/>
              <a:ext cx="835559" cy="347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f>
                          <m:fPr>
                            <m:ctrlPr>
                              <a:rPr lang="es-CO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p>
                                <m: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es-CO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6</m:t>
                            </m:r>
                          </m:den>
                        </m:f>
                        <m:r>
                          <m:rPr>
                            <m:nor/>
                          </m:rPr>
                          <a:rPr lang="es-CO" sz="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sSup>
                          <m:sSupPr>
                            <m:ctrlP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</m:t>
                            </m:r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𝑚𝑎𝑥𝑖𝑚𝑎</m:t>
                            </m:r>
                          </m:e>
                          <m:sup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e>
                      <m:sup/>
                    </m:sSup>
                  </m:oMath>
                </m:oMathPara>
              </a14:m>
              <a:endParaRPr lang="es-CO" sz="1050" b="1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154221" y="43430321"/>
              <a:ext cx="835559" cy="347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〖𝑑^2/6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es-CO" sz="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 </a:t>
              </a:r>
              <a:r>
                <a:rPr lang="es-CO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〖𝑠 𝑚𝑎𝑥𝑖𝑚𝑎〗^2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endParaRPr lang="es-CO" sz="1050" b="1"/>
            </a:p>
          </xdr:txBody>
        </xdr:sp>
      </mc:Fallback>
    </mc:AlternateContent>
    <xdr:clientData/>
  </xdr:oneCellAnchor>
  <xdr:oneCellAnchor>
    <xdr:from>
      <xdr:col>3</xdr:col>
      <xdr:colOff>129221</xdr:colOff>
      <xdr:row>108</xdr:row>
      <xdr:rowOff>57188</xdr:rowOff>
    </xdr:from>
    <xdr:ext cx="865910" cy="3377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>
              <a:extLst>
                <a:ext uri="{FF2B5EF4-FFF2-40B4-BE49-F238E27FC236}">
                  <a16:creationId xmlns="" xmlns:a16="http://schemas.microsoft.com/office/drawing/2014/main" id="{00000000-0008-0000-0200-00001F000000}"/>
                </a:ext>
              </a:extLst>
            </xdr:cNvPr>
            <xdr:cNvSpPr txBox="1"/>
          </xdr:nvSpPr>
          <xdr:spPr>
            <a:xfrm>
              <a:off x="5109435" y="38783117"/>
              <a:ext cx="865910" cy="337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acc>
                              <m:accPr>
                                <m:chr m:val="̅"/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</m:acc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∗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∗ </m:t>
                    </m:r>
                    <m:f>
                      <m:fPr>
                        <m:ctrlP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den>
                    </m:f>
                  </m:oMath>
                </m:oMathPara>
              </a14:m>
              <a:endParaRPr lang="es-CO">
                <a:effectLst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5109435" y="38783117"/>
              <a:ext cx="865910" cy="337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〖〖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(𝐼 ̅〗^2  ∗𝑝)〗^2  ∗  𝑑^2/6</a:t>
              </a:r>
              <a:endParaRPr lang="es-CO">
                <a:effectLst/>
              </a:endParaRPr>
            </a:p>
            <a:p>
              <a:pPr/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1105964</xdr:colOff>
      <xdr:row>114</xdr:row>
      <xdr:rowOff>71311</xdr:rowOff>
    </xdr:from>
    <xdr:ext cx="1109797" cy="2551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="" xmlns:a16="http://schemas.microsoft.com/office/drawing/2014/main" id="{00000000-0008-0000-0200-000020000000}"/>
                </a:ext>
              </a:extLst>
            </xdr:cNvPr>
            <xdr:cNvSpPr txBox="1"/>
          </xdr:nvSpPr>
          <xdr:spPr>
            <a:xfrm>
              <a:off x="7167328" y="41167356"/>
              <a:ext cx="1109797" cy="255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>
                  <a:solidFill>
                    <a:schemeClr val="bg1"/>
                  </a:solidFill>
                  <a:effectLst/>
                  <a:ea typeface="+mn-ea"/>
                  <a:cs typeface="+mn-cs"/>
                </a:rPr>
                <a:t>Σ</a:t>
              </a:r>
              <a14:m>
                <m:oMath xmlns:m="http://schemas.openxmlformats.org/officeDocument/2006/math">
                  <m:r>
                    <a:rPr lang="es-CO" sz="12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𝑝</m:t>
                  </m:r>
                  <m:sSup>
                    <m:sSupPr>
                      <m:ctrlP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</m:t>
                      </m:r>
                      <m:sSub>
                        <m:sSubPr>
                          <m:ctrlP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𝑎</m:t>
                          </m:r>
                        </m:e>
                        <m:sub>
                          <m: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∗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−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)</m:t>
                      </m:r>
                    </m:e>
                    <m:sup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7167328" y="41167356"/>
              <a:ext cx="1109797" cy="255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>
                  <a:solidFill>
                    <a:schemeClr val="bg1"/>
                  </a:solidFill>
                  <a:effectLst/>
                  <a:ea typeface="+mn-ea"/>
                  <a:cs typeface="+mn-cs"/>
                </a:rPr>
                <a:t>Σ</a:t>
              </a:r>
              <a:r>
                <a:rPr lang="es-CO" sz="12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𝑝〖(𝑎_1  ∗𝐼 −𝐸)〗^2</a:t>
              </a:r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8</xdr:col>
      <xdr:colOff>593912</xdr:colOff>
      <xdr:row>116</xdr:row>
      <xdr:rowOff>33620</xdr:rowOff>
    </xdr:from>
    <xdr:ext cx="1916206" cy="313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="" xmlns:a16="http://schemas.microsoft.com/office/drawing/2014/main" id="{00000000-0008-0000-0200-000021000000}"/>
                </a:ext>
              </a:extLst>
            </xdr:cNvPr>
            <xdr:cNvSpPr txBox="1"/>
          </xdr:nvSpPr>
          <xdr:spPr>
            <a:xfrm>
              <a:off x="8756837" y="47849120"/>
              <a:ext cx="1916206" cy="313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600">
                  <a:solidFill>
                    <a:schemeClr val="bg1"/>
                  </a:solidFill>
                </a:rPr>
                <a:t>|min</a:t>
              </a:r>
              <a:r>
                <a:rPr lang="es-CO" sz="1600" baseline="0">
                  <a:solidFill>
                    <a:schemeClr val="bg1"/>
                  </a:solidFill>
                </a:rPr>
                <a:t>X</a:t>
              </a:r>
              <a:r>
                <a:rPr lang="es-CO" sz="1600" baseline="30000">
                  <a:solidFill>
                    <a:schemeClr val="bg1"/>
                  </a:solidFill>
                </a:rPr>
                <a:t>2</a:t>
              </a:r>
              <a14:m>
                <m:oMath xmlns:m="http://schemas.openxmlformats.org/officeDocument/2006/math">
                  <m:r>
                    <a:rPr lang="es-CO" sz="160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−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𝜐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|≤ 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𝛽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ad>
                    <m:radPr>
                      <m:degHide m:val="on"/>
                      <m:ctrlP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  <m: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𝜐</m:t>
                      </m:r>
                    </m:e>
                  </m:rad>
                </m:oMath>
              </a14:m>
              <a:endParaRPr lang="es-CO" sz="16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756837" y="47849120"/>
              <a:ext cx="1916206" cy="313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600">
                  <a:solidFill>
                    <a:schemeClr val="bg1"/>
                  </a:solidFill>
                </a:rPr>
                <a:t>|min</a:t>
              </a:r>
              <a:r>
                <a:rPr lang="es-CO" sz="1600" baseline="0">
                  <a:solidFill>
                    <a:schemeClr val="bg1"/>
                  </a:solidFill>
                </a:rPr>
                <a:t>X</a:t>
              </a:r>
              <a:r>
                <a:rPr lang="es-CO" sz="1600" baseline="30000">
                  <a:solidFill>
                    <a:schemeClr val="bg1"/>
                  </a:solidFill>
                </a:rPr>
                <a:t>2</a:t>
              </a:r>
              <a:r>
                <a:rPr lang="es-CO" sz="1600" i="0" baseline="0">
                  <a:solidFill>
                    <a:schemeClr val="bg1"/>
                  </a:solidFill>
                  <a:latin typeface="Cambria Math" panose="02040503050406030204" pitchFamily="18" charset="0"/>
                </a:rPr>
                <a:t>−</a:t>
              </a:r>
              <a:r>
                <a:rPr lang="es-CO" sz="1600" b="0" i="0" baseline="0">
                  <a:solidFill>
                    <a:schemeClr val="bg1"/>
                  </a:solidFill>
                  <a:latin typeface="Cambria Math" panose="02040503050406030204" pitchFamily="18" charset="0"/>
                </a:rPr>
                <a:t> </a:t>
              </a:r>
              <a:r>
                <a:rPr lang="es-CO" sz="1600" b="0" i="0" baseline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𝜐 |≤ 𝛽 √2𝜐</a:t>
              </a:r>
              <a:endParaRPr lang="es-CO" sz="16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119816</xdr:colOff>
      <xdr:row>132</xdr:row>
      <xdr:rowOff>172452</xdr:rowOff>
    </xdr:from>
    <xdr:ext cx="695324" cy="1905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="" xmlns:a16="http://schemas.microsoft.com/office/drawing/2014/main" id="{00000000-0008-0000-0200-000023000000}"/>
                </a:ext>
              </a:extLst>
            </xdr:cNvPr>
            <xdr:cNvSpPr txBox="1"/>
          </xdr:nvSpPr>
          <xdr:spPr>
            <a:xfrm>
              <a:off x="1891466" y="53988702"/>
              <a:ext cx="695324" cy="190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 ∗ </m:t>
                    </m:r>
                    <m:sSup>
                      <m:sSup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CO" sz="1100" b="0" i="1">
                            <a:latin typeface="Cambria Math" panose="02040503050406030204" pitchFamily="18" charset="0"/>
                          </a:rPr>
                          <m:t>u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𝑅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91466" y="53988702"/>
              <a:ext cx="695324" cy="190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𝑎_1  ∗ "u" ^2 (𝑅)</a:t>
              </a:r>
              <a:endParaRPr lang="es-CO" sz="1100" b="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9</xdr:col>
      <xdr:colOff>359019</xdr:colOff>
      <xdr:row>53</xdr:row>
      <xdr:rowOff>140678</xdr:rowOff>
    </xdr:from>
    <xdr:ext cx="358487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>
              <a:extLst>
                <a:ext uri="{FF2B5EF4-FFF2-40B4-BE49-F238E27FC236}">
                  <a16:creationId xmlns="" xmlns:a16="http://schemas.microsoft.com/office/drawing/2014/main" id="{00000000-0008-0000-0200-000024000000}"/>
                </a:ext>
              </a:extLst>
            </xdr:cNvPr>
            <xdr:cNvSpPr txBox="1"/>
          </xdr:nvSpPr>
          <xdr:spPr>
            <a:xfrm>
              <a:off x="4788144" y="20228903"/>
              <a:ext cx="35848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𝑚𝑔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4788144" y="20228903"/>
              <a:ext cx="35848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𝑚𝑔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554005</xdr:colOff>
      <xdr:row>86</xdr:row>
      <xdr:rowOff>82614</xdr:rowOff>
    </xdr:from>
    <xdr:ext cx="595611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>
              <a:extLst>
                <a:ext uri="{FF2B5EF4-FFF2-40B4-BE49-F238E27FC236}">
                  <a16:creationId xmlns="" xmlns:a16="http://schemas.microsoft.com/office/drawing/2014/main" id="{00000000-0008-0000-0200-000025000000}"/>
                </a:ext>
              </a:extLst>
            </xdr:cNvPr>
            <xdr:cNvSpPr txBox="1"/>
          </xdr:nvSpPr>
          <xdr:spPr>
            <a:xfrm>
              <a:off x="3344830" y="29514864"/>
              <a:ext cx="595611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𝑒𝑐𝑐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3344830" y="29514864"/>
              <a:ext cx="595611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(𝑒𝑐𝑐)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564114</xdr:colOff>
      <xdr:row>88</xdr:row>
      <xdr:rowOff>116827</xdr:rowOff>
    </xdr:from>
    <xdr:ext cx="611065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>
              <a:extLst>
                <a:ext uri="{FF2B5EF4-FFF2-40B4-BE49-F238E27FC236}">
                  <a16:creationId xmlns="" xmlns:a16="http://schemas.microsoft.com/office/drawing/2014/main" id="{00000000-0008-0000-0200-000026000000}"/>
                </a:ext>
              </a:extLst>
            </xdr:cNvPr>
            <xdr:cNvSpPr txBox="1"/>
          </xdr:nvSpPr>
          <xdr:spPr>
            <a:xfrm>
              <a:off x="3354939" y="30349177"/>
              <a:ext cx="611065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𝑑𝑖𝑔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3354939" y="30349177"/>
              <a:ext cx="611065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(𝑑𝑖𝑔)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795049</xdr:colOff>
      <xdr:row>91</xdr:row>
      <xdr:rowOff>97194</xdr:rowOff>
    </xdr:from>
    <xdr:ext cx="591764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="" xmlns:a16="http://schemas.microsoft.com/office/drawing/2014/main" id="{00000000-0008-0000-0200-000027000000}"/>
                </a:ext>
              </a:extLst>
            </xdr:cNvPr>
            <xdr:cNvSpPr txBox="1"/>
          </xdr:nvSpPr>
          <xdr:spPr>
            <a:xfrm>
              <a:off x="3584513" y="31965123"/>
              <a:ext cx="591764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3584513" y="31965123"/>
              <a:ext cx="591764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(𝑚_𝑐)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3</xdr:col>
      <xdr:colOff>814484</xdr:colOff>
      <xdr:row>92</xdr:row>
      <xdr:rowOff>116632</xdr:rowOff>
    </xdr:from>
    <xdr:ext cx="592533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="" xmlns:a16="http://schemas.microsoft.com/office/drawing/2014/main" id="{00000000-0008-0000-0200-000028000000}"/>
                </a:ext>
              </a:extLst>
            </xdr:cNvPr>
            <xdr:cNvSpPr txBox="1"/>
          </xdr:nvSpPr>
          <xdr:spPr>
            <a:xfrm>
              <a:off x="3603948" y="32379168"/>
              <a:ext cx="592533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>
                <a:effectLst/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3603948" y="32379168"/>
              <a:ext cx="592533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(𝑚_𝐵)</a:t>
              </a:r>
              <a:endParaRPr lang="es-CO">
                <a:effectLst/>
              </a:endParaRPr>
            </a:p>
          </xdr:txBody>
        </xdr:sp>
      </mc:Fallback>
    </mc:AlternateContent>
    <xdr:clientData/>
  </xdr:oneCellAnchor>
  <xdr:oneCellAnchor>
    <xdr:from>
      <xdr:col>3</xdr:col>
      <xdr:colOff>781433</xdr:colOff>
      <xdr:row>93</xdr:row>
      <xdr:rowOff>116632</xdr:rowOff>
    </xdr:from>
    <xdr:ext cx="596189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>
              <a:extLst>
                <a:ext uri="{FF2B5EF4-FFF2-40B4-BE49-F238E27FC236}">
                  <a16:creationId xmlns="" xmlns:a16="http://schemas.microsoft.com/office/drawing/2014/main" id="{00000000-0008-0000-0200-000029000000}"/>
                </a:ext>
              </a:extLst>
            </xdr:cNvPr>
            <xdr:cNvSpPr txBox="1"/>
          </xdr:nvSpPr>
          <xdr:spPr>
            <a:xfrm>
              <a:off x="3570897" y="32773775"/>
              <a:ext cx="596189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>
                <a:effectLst/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3570897" y="32773775"/>
              <a:ext cx="596189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(𝑚_𝐷)</a:t>
              </a:r>
              <a:endParaRPr lang="es-CO">
                <a:effectLst/>
              </a:endParaRPr>
            </a:p>
          </xdr:txBody>
        </xdr:sp>
      </mc:Fallback>
    </mc:AlternateContent>
    <xdr:clientData/>
  </xdr:oneCellAnchor>
  <xdr:oneCellAnchor>
    <xdr:from>
      <xdr:col>3</xdr:col>
      <xdr:colOff>523875</xdr:colOff>
      <xdr:row>87</xdr:row>
      <xdr:rowOff>95250</xdr:rowOff>
    </xdr:from>
    <xdr:ext cx="1267335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="" xmlns:a16="http://schemas.microsoft.com/office/drawing/2014/main" id="{00000000-0008-0000-0200-00002A000000}"/>
                </a:ext>
              </a:extLst>
            </xdr:cNvPr>
            <xdr:cNvSpPr txBox="1"/>
          </xdr:nvSpPr>
          <xdr:spPr>
            <a:xfrm>
              <a:off x="3314700" y="29927550"/>
              <a:ext cx="126733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d>
                      <m:d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𝑟𝑒𝑝</m:t>
                        </m:r>
                      </m:e>
                    </m:d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𝑛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−1   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3314700" y="29927550"/>
              <a:ext cx="126733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(𝑟𝑒𝑝)=𝑛 −1   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0</xdr:col>
      <xdr:colOff>95251</xdr:colOff>
      <xdr:row>123</xdr:row>
      <xdr:rowOff>67235</xdr:rowOff>
    </xdr:from>
    <xdr:to>
      <xdr:col>8</xdr:col>
      <xdr:colOff>974913</xdr:colOff>
      <xdr:row>130</xdr:row>
      <xdr:rowOff>425823</xdr:rowOff>
    </xdr:to>
    <xdr:graphicFrame macro="">
      <xdr:nvGraphicFramePr>
        <xdr:cNvPr id="43" name="Gráfico 42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430894</xdr:colOff>
      <xdr:row>32</xdr:row>
      <xdr:rowOff>368400</xdr:rowOff>
    </xdr:from>
    <xdr:to>
      <xdr:col>11</xdr:col>
      <xdr:colOff>515738</xdr:colOff>
      <xdr:row>37</xdr:row>
      <xdr:rowOff>312962</xdr:rowOff>
    </xdr:to>
    <xdr:pic>
      <xdr:nvPicPr>
        <xdr:cNvPr id="44" name="Imagen 43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1394" y="13862150"/>
          <a:ext cx="4529844" cy="2167062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1" name="CuadroTexto 5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2" name="CuadroTexto 51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462643</xdr:colOff>
      <xdr:row>53</xdr:row>
      <xdr:rowOff>136073</xdr:rowOff>
    </xdr:from>
    <xdr:ext cx="381000" cy="1632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>
              <a:extLst>
                <a:ext uri="{FF2B5EF4-FFF2-40B4-BE49-F238E27FC236}">
                  <a16:creationId xmlns="" xmlns:a16="http://schemas.microsoft.com/office/drawing/2014/main" id="{00000000-0008-0000-0200-000035000000}"/>
                </a:ext>
              </a:extLst>
            </xdr:cNvPr>
            <xdr:cNvSpPr txBox="1"/>
          </xdr:nvSpPr>
          <xdr:spPr>
            <a:xfrm>
              <a:off x="3252107" y="18383252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latin typeface="+mn-lt"/>
                </a:rPr>
                <a:t>     </a:t>
              </a:r>
              <a14:m>
                <m:oMath xmlns:m="http://schemas.openxmlformats.org/officeDocument/2006/math">
                  <m:r>
                    <a:rPr lang="es-CO" sz="1100" b="0" i="0" baseline="0">
                      <a:latin typeface="Cambria Math" panose="02040503050406030204" pitchFamily="18" charset="0"/>
                    </a:rPr>
                    <m:t>𝛪</m:t>
                  </m:r>
                  <m:r>
                    <a:rPr lang="es-CO" sz="1100" b="0" i="1" baseline="0">
                      <a:latin typeface="Cambria Math" panose="02040503050406030204" pitchFamily="18" charset="0"/>
                    </a:rPr>
                    <m:t> </m:t>
                  </m:r>
                  <m:r>
                    <a:rPr lang="es-CO" sz="1100" b="0" i="1">
                      <a:latin typeface="Cambria Math" panose="02040503050406030204" pitchFamily="18" charset="0"/>
                    </a:rPr>
                    <m:t>𝑔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3252107" y="18383252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+mn-lt"/>
                </a:rPr>
                <a:t>     </a:t>
              </a:r>
              <a:r>
                <a:rPr lang="es-CO" sz="1100" b="0" i="0" baseline="0">
                  <a:latin typeface="Cambria Math" panose="02040503050406030204" pitchFamily="18" charset="0"/>
                </a:rPr>
                <a:t>𝛪 </a:t>
              </a:r>
              <a:r>
                <a:rPr lang="es-CO" sz="1100" b="0" i="0">
                  <a:latin typeface="Cambria Math" panose="02040503050406030204" pitchFamily="18" charset="0"/>
                </a:rPr>
                <a:t>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4</xdr:col>
      <xdr:colOff>462642</xdr:colOff>
      <xdr:row>53</xdr:row>
      <xdr:rowOff>122464</xdr:rowOff>
    </xdr:from>
    <xdr:ext cx="381000" cy="1632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>
              <a:extLst>
                <a:ext uri="{FF2B5EF4-FFF2-40B4-BE49-F238E27FC236}">
                  <a16:creationId xmlns="" xmlns:a16="http://schemas.microsoft.com/office/drawing/2014/main" id="{00000000-0008-0000-0200-00003A000000}"/>
                </a:ext>
              </a:extLst>
            </xdr:cNvPr>
            <xdr:cNvSpPr txBox="1"/>
          </xdr:nvSpPr>
          <xdr:spPr>
            <a:xfrm>
              <a:off x="4136571" y="18369643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latin typeface="+mn-lt"/>
                </a:rPr>
                <a:t>   </a:t>
              </a:r>
              <a14:m>
                <m:oMath xmlns:m="http://schemas.openxmlformats.org/officeDocument/2006/math">
                  <m:r>
                    <a:rPr lang="es-CO" sz="1100" b="0" i="0" baseline="0">
                      <a:latin typeface="Cambria Math" panose="02040503050406030204" pitchFamily="18" charset="0"/>
                    </a:rPr>
                    <m:t>𝛪</m:t>
                  </m:r>
                  <m:r>
                    <a:rPr lang="es-CO" sz="1100" b="0" i="1">
                      <a:latin typeface="Cambria Math" panose="02040503050406030204" pitchFamily="18" charset="0"/>
                    </a:rPr>
                    <m:t>𝑚𝑔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4136571" y="18369643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+mn-lt"/>
                </a:rPr>
                <a:t>   </a:t>
              </a:r>
              <a:r>
                <a:rPr lang="es-CO" sz="1100" b="0" i="0" baseline="0">
                  <a:latin typeface="Cambria Math" panose="02040503050406030204" pitchFamily="18" charset="0"/>
                </a:rPr>
                <a:t>𝛪</a:t>
              </a:r>
              <a:r>
                <a:rPr lang="es-CO" sz="1100" b="0" i="0">
                  <a:latin typeface="Cambria Math" panose="02040503050406030204" pitchFamily="18" charset="0"/>
                </a:rPr>
                <a:t>𝑚𝑔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0</xdr:col>
      <xdr:colOff>133350</xdr:colOff>
      <xdr:row>0</xdr:row>
      <xdr:rowOff>171450</xdr:rowOff>
    </xdr:from>
    <xdr:to>
      <xdr:col>1</xdr:col>
      <xdr:colOff>1009650</xdr:colOff>
      <xdr:row>2</xdr:row>
      <xdr:rowOff>272895</xdr:rowOff>
    </xdr:to>
    <xdr:pic>
      <xdr:nvPicPr>
        <xdr:cNvPr id="50" name="Picture 1" descr="\\Abeltran\publico\Logo completo.gif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1990725" cy="977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820371</xdr:colOff>
      <xdr:row>104</xdr:row>
      <xdr:rowOff>76200</xdr:rowOff>
    </xdr:from>
    <xdr:ext cx="1198929" cy="3010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>
              <a:extLst>
                <a:ext uri="{FF2B5EF4-FFF2-40B4-BE49-F238E27FC236}">
                  <a16:creationId xmlns="" xmlns:a16="http://schemas.microsoft.com/office/drawing/2014/main" id="{00000000-0008-0000-0200-000031000000}"/>
                </a:ext>
              </a:extLst>
            </xdr:cNvPr>
            <xdr:cNvSpPr txBox="1"/>
          </xdr:nvSpPr>
          <xdr:spPr>
            <a:xfrm>
              <a:off x="4154121" y="41816867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𝑈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)∗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𝑘</m:t>
                  </m:r>
                </m:oMath>
              </a14:m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49" name="CuadroTexto 4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100-000013000000}"/>
                </a:ext>
              </a:extLst>
            </xdr:cNvPr>
            <xdr:cNvSpPr txBox="1"/>
          </xdr:nvSpPr>
          <xdr:spPr>
            <a:xfrm>
              <a:off x="4154121" y="41816867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(𝐸)</a:t>
              </a:r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 𝑢(𝐸)∗𝑘</a:t>
              </a:r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198560</xdr:colOff>
      <xdr:row>65</xdr:row>
      <xdr:rowOff>116498</xdr:rowOff>
    </xdr:from>
    <xdr:to>
      <xdr:col>5</xdr:col>
      <xdr:colOff>244861</xdr:colOff>
      <xdr:row>70</xdr:row>
      <xdr:rowOff>112481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2260" y="13670573"/>
          <a:ext cx="2403739" cy="1177083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257174</xdr:colOff>
      <xdr:row>161</xdr:row>
      <xdr:rowOff>133350</xdr:rowOff>
    </xdr:from>
    <xdr:ext cx="295275" cy="375680"/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57174" y="32975550"/>
          <a:ext cx="29527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CO" sz="2400"/>
        </a:p>
      </xdr:txBody>
    </xdr:sp>
    <xdr:clientData/>
  </xdr:oneCellAnchor>
  <xdr:twoCellAnchor>
    <xdr:from>
      <xdr:col>0</xdr:col>
      <xdr:colOff>198785</xdr:colOff>
      <xdr:row>121</xdr:row>
      <xdr:rowOff>0</xdr:rowOff>
    </xdr:from>
    <xdr:to>
      <xdr:col>5</xdr:col>
      <xdr:colOff>704024</xdr:colOff>
      <xdr:row>136</xdr:row>
      <xdr:rowOff>157369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304800</xdr:colOff>
      <xdr:row>108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304800" y="231369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304800</xdr:colOff>
      <xdr:row>108</xdr:row>
      <xdr:rowOff>95983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04800" y="231369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223009</xdr:colOff>
      <xdr:row>161</xdr:row>
      <xdr:rowOff>37892</xdr:rowOff>
    </xdr:from>
    <xdr:ext cx="2243138" cy="264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="" xmlns:a16="http://schemas.microsoft.com/office/drawing/2014/main" id="{00000000-0008-0000-0300-000009000000}"/>
                </a:ext>
              </a:extLst>
            </xdr:cNvPr>
            <xdr:cNvSpPr txBox="1"/>
          </xdr:nvSpPr>
          <xdr:spPr>
            <a:xfrm>
              <a:off x="223009" y="328800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14:m>
                <m:oMath xmlns:m="http://schemas.openxmlformats.org/officeDocument/2006/math">
                  <m:d>
                    <m:dPr>
                      <m:ctrlPr>
                        <a:rPr lang="es-CO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𝑾</m:t>
                          </m:r>
                        </m:e>
                        <m:sup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∗</m:t>
                          </m:r>
                        </m:sup>
                      </m:sSup>
                    </m:e>
                  </m:d>
                  <m:r>
                    <a:rPr lang="es-CO" sz="14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es-CO" sz="1400" b="1" i="1">
                      <a:latin typeface="Cambria Math" panose="02040503050406030204" pitchFamily="18" charset="0"/>
                    </a:rPr>
                    <m:t>=</m:t>
                  </m:r>
                  <m:rad>
                    <m:radPr>
                      <m:degHide m:val="on"/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𝑬</m:t>
                          </m:r>
                        </m:e>
                      </m:d>
                      <m:r>
                        <a:rPr lang="es-CO" sz="1400" b="1" i="1">
                          <a:latin typeface="Cambria Math" panose="02040503050406030204" pitchFamily="18" charset="0"/>
                        </a:rPr>
                        <m:t>+</m:t>
                      </m:r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𝑹</m:t>
                          </m:r>
                        </m:e>
                      </m:d>
                    </m:e>
                  </m:rad>
                </m:oMath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9000000}"/>
                </a:ext>
              </a:extLst>
            </xdr:cNvPr>
            <xdr:cNvSpPr txBox="1"/>
          </xdr:nvSpPr>
          <xdr:spPr>
            <a:xfrm>
              <a:off x="223009" y="328800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(𝑾^∗ )+</a:t>
              </a:r>
              <a:r>
                <a:rPr lang="es-CO" sz="1400" b="1" i="0">
                  <a:latin typeface="Cambria Math" panose="02040503050406030204" pitchFamily="18" charset="0"/>
                </a:rPr>
                <a:t>=√(𝒖^𝟐 (𝑬)+𝒖^𝟐 (𝑹) )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3</xdr:col>
      <xdr:colOff>3728</xdr:colOff>
      <xdr:row>160</xdr:row>
      <xdr:rowOff>115957</xdr:rowOff>
    </xdr:from>
    <xdr:ext cx="2028063" cy="5238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="" xmlns:a16="http://schemas.microsoft.com/office/drawing/2014/main" id="{00000000-0008-0000-0300-00000A000000}"/>
                </a:ext>
              </a:extLst>
            </xdr:cNvPr>
            <xdr:cNvSpPr txBox="1"/>
          </xdr:nvSpPr>
          <xdr:spPr>
            <a:xfrm>
              <a:off x="2937428" y="327676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400" b="1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𝒅</m:t>
                            </m:r>
                          </m:e>
                          <m:sup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p>
                        </m:sSup>
                      </m:num>
                      <m:den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𝟔</m:t>
                        </m:r>
                      </m:den>
                    </m:f>
                    <m:r>
                      <a:rPr lang="es-CO" sz="1400" b="1" i="1">
                        <a:latin typeface="Cambria Math" panose="02040503050406030204" pitchFamily="18" charset="0"/>
                      </a:rPr>
                      <m:t>+</m:t>
                    </m:r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𝒔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A000000}"/>
                </a:ext>
              </a:extLst>
            </xdr:cNvPr>
            <xdr:cNvSpPr txBox="1"/>
          </xdr:nvSpPr>
          <xdr:spPr>
            <a:xfrm>
              <a:off x="2937428" y="327676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𝒖^𝟐 (𝑹)=𝒅^𝟐/𝟔+𝒔^𝟐 (𝑹)</a:t>
              </a:r>
              <a:endParaRPr lang="es-CO" sz="1400" b="1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198560</xdr:colOff>
      <xdr:row>64</xdr:row>
      <xdr:rowOff>116498</xdr:rowOff>
    </xdr:from>
    <xdr:to>
      <xdr:col>5</xdr:col>
      <xdr:colOff>411549</xdr:colOff>
      <xdr:row>69</xdr:row>
      <xdr:rowOff>112480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1785" y="13451498"/>
          <a:ext cx="2404472" cy="1177084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257174</xdr:colOff>
      <xdr:row>156</xdr:row>
      <xdr:rowOff>133350</xdr:rowOff>
    </xdr:from>
    <xdr:ext cx="295275" cy="375680"/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57174" y="32251650"/>
          <a:ext cx="29527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CO" sz="2400"/>
        </a:p>
      </xdr:txBody>
    </xdr:sp>
    <xdr:clientData/>
  </xdr:oneCellAnchor>
  <xdr:twoCellAnchor>
    <xdr:from>
      <xdr:col>0</xdr:col>
      <xdr:colOff>198785</xdr:colOff>
      <xdr:row>119</xdr:row>
      <xdr:rowOff>0</xdr:rowOff>
    </xdr:from>
    <xdr:to>
      <xdr:col>5</xdr:col>
      <xdr:colOff>704024</xdr:colOff>
      <xdr:row>134</xdr:row>
      <xdr:rowOff>157369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304800</xdr:colOff>
      <xdr:row>107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304800" y="228131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304800</xdr:colOff>
      <xdr:row>107</xdr:row>
      <xdr:rowOff>95983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04800" y="228131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223009</xdr:colOff>
      <xdr:row>156</xdr:row>
      <xdr:rowOff>37892</xdr:rowOff>
    </xdr:from>
    <xdr:ext cx="2243138" cy="264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="" xmlns:a16="http://schemas.microsoft.com/office/drawing/2014/main" id="{00000000-0008-0000-0300-000009000000}"/>
                </a:ext>
              </a:extLst>
            </xdr:cNvPr>
            <xdr:cNvSpPr txBox="1"/>
          </xdr:nvSpPr>
          <xdr:spPr>
            <a:xfrm>
              <a:off x="223009" y="321561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14:m>
                <m:oMath xmlns:m="http://schemas.openxmlformats.org/officeDocument/2006/math">
                  <m:d>
                    <m:dPr>
                      <m:ctrlPr>
                        <a:rPr lang="es-CO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𝑾</m:t>
                          </m:r>
                        </m:e>
                        <m:sup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∗</m:t>
                          </m:r>
                        </m:sup>
                      </m:sSup>
                    </m:e>
                  </m:d>
                  <m:r>
                    <a:rPr lang="es-CO" sz="14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es-CO" sz="1400" b="1" i="1">
                      <a:latin typeface="Cambria Math" panose="02040503050406030204" pitchFamily="18" charset="0"/>
                    </a:rPr>
                    <m:t>=</m:t>
                  </m:r>
                  <m:rad>
                    <m:radPr>
                      <m:degHide m:val="on"/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𝑬</m:t>
                          </m:r>
                        </m:e>
                      </m:d>
                      <m:r>
                        <a:rPr lang="es-CO" sz="1400" b="1" i="1">
                          <a:latin typeface="Cambria Math" panose="02040503050406030204" pitchFamily="18" charset="0"/>
                        </a:rPr>
                        <m:t>+</m:t>
                      </m:r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𝑹</m:t>
                          </m:r>
                        </m:e>
                      </m:d>
                    </m:e>
                  </m:rad>
                </m:oMath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9000000}"/>
                </a:ext>
              </a:extLst>
            </xdr:cNvPr>
            <xdr:cNvSpPr txBox="1"/>
          </xdr:nvSpPr>
          <xdr:spPr>
            <a:xfrm>
              <a:off x="223009" y="321561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(𝑾^∗ )+</a:t>
              </a:r>
              <a:r>
                <a:rPr lang="es-CO" sz="1400" b="1" i="0">
                  <a:latin typeface="Cambria Math" panose="02040503050406030204" pitchFamily="18" charset="0"/>
                </a:rPr>
                <a:t>=√(𝒖^𝟐 (𝑬)+𝒖^𝟐 (𝑹) )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3</xdr:col>
      <xdr:colOff>3728</xdr:colOff>
      <xdr:row>155</xdr:row>
      <xdr:rowOff>115957</xdr:rowOff>
    </xdr:from>
    <xdr:ext cx="2028063" cy="5238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="" xmlns:a16="http://schemas.microsoft.com/office/drawing/2014/main" id="{00000000-0008-0000-0300-00000A000000}"/>
                </a:ext>
              </a:extLst>
            </xdr:cNvPr>
            <xdr:cNvSpPr txBox="1"/>
          </xdr:nvSpPr>
          <xdr:spPr>
            <a:xfrm>
              <a:off x="2946953" y="320437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400" b="1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𝒅</m:t>
                            </m:r>
                          </m:e>
                          <m:sup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p>
                        </m:sSup>
                      </m:num>
                      <m:den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𝟔</m:t>
                        </m:r>
                      </m:den>
                    </m:f>
                    <m:r>
                      <a:rPr lang="es-CO" sz="1400" b="1" i="1">
                        <a:latin typeface="Cambria Math" panose="02040503050406030204" pitchFamily="18" charset="0"/>
                      </a:rPr>
                      <m:t>+</m:t>
                    </m:r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𝒔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A000000}"/>
                </a:ext>
              </a:extLst>
            </xdr:cNvPr>
            <xdr:cNvSpPr txBox="1"/>
          </xdr:nvSpPr>
          <xdr:spPr>
            <a:xfrm>
              <a:off x="2946953" y="320437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𝒖^𝟐 (𝑹)=𝒅^𝟐/𝟔+𝒔^𝟐 (𝑹)</a:t>
              </a:r>
              <a:endParaRPr lang="es-CO" sz="1400" b="1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guirre/Desktop/Directos/Funcionarios/SISTEMA%20GESTION%20DE%20CALIDAD/Laboratorios%20de%20masas%20y%20volumen%20(RT03)/Calibraciones%20Balanzas/Calibraciones%20casa%20consumidor%20Popayan/CER%200.012%20Casa%20del%20Consumidor%20Popay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ctos\Funcionarios\SISTEMA%20GESTION%20DE%20CALIDAD\Laboratorios%20de%20masas%20y%20volumen%20(RT03)\Calibraciones%20Balanzas\Calibraciones%20casa%20consumidor%20Popayan\CER%200.009%20Casa%20del%20Consumidor%20Popay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VARGAS/Desktop/hoja%20balanzas/CERTIFICADO%200008%20Pedro%20Vargas%20Barranquilla%20(Autoguardado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ctos\Funcionarios\SISTEMA%20GESTION%20DE%20CALIDAD\Laboratorios%20de%20masas%20y%20volumen%20(RT03)\Calibraciones%20Balanzas\Calibraci&#243;n%20casa%20del%20consumidor%20Pasto\CER%200.012%20Casa%20del%20Consumidor%20Pa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9"/>
    </sheetNames>
    <sheetDataSet>
      <sheetData sheetId="0" refreshError="1"/>
      <sheetData sheetId="1" refreshError="1"/>
      <sheetData sheetId="2" refreshError="1"/>
      <sheetData sheetId="3">
        <row r="21">
          <cell r="C21">
            <v>-6.7440415040991324E-6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9"/>
    </sheetNames>
    <sheetDataSet>
      <sheetData sheetId="0">
        <row r="13">
          <cell r="E13">
            <v>0.1</v>
          </cell>
        </row>
      </sheetData>
      <sheetData sheetId="1">
        <row r="11">
          <cell r="H11">
            <v>5000</v>
          </cell>
        </row>
        <row r="18">
          <cell r="G18">
            <v>199.9999999998181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AL"/>
      <sheetName val="RESULTADOS"/>
      <sheetName val="Certificado 0,008"/>
    </sheetNames>
    <sheetDataSet>
      <sheetData sheetId="0"/>
      <sheetData sheetId="1"/>
      <sheetData sheetId="2">
        <row r="32">
          <cell r="G32">
            <v>2.3198094410224317</v>
          </cell>
          <cell r="H32">
            <v>2.1404966299111416</v>
          </cell>
          <cell r="I32">
            <v>2.0448204509932868</v>
          </cell>
          <cell r="J32">
            <v>2.0231982834557294</v>
          </cell>
          <cell r="K32">
            <v>2.0240923077978925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12"/>
    </sheetNames>
    <sheetDataSet>
      <sheetData sheetId="0">
        <row r="12">
          <cell r="G12" t="str">
            <v>g</v>
          </cell>
        </row>
      </sheetData>
      <sheetData sheetId="1">
        <row r="11">
          <cell r="B11" t="str">
            <v>CARGA (g)</v>
          </cell>
        </row>
        <row r="18">
          <cell r="F18" t="str">
            <v>DIF MAX EXC</v>
          </cell>
        </row>
      </sheetData>
      <sheetData sheetId="2"/>
      <sheetData sheetId="3"/>
      <sheetData sheetId="4">
        <row r="6">
          <cell r="C6" t="str">
            <v>ERROR (mg)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/Users/CA32F~1.YAH/AppData/Local/Temp/Rar$DIa0.424/RT03-F12.Vr.1(2017-04-47).xlsx" TargetMode="External"/><Relationship Id="rId1" Type="http://schemas.openxmlformats.org/officeDocument/2006/relationships/externalLinkPath" Target="/Users/CA32F~1.YAH/AppData/Local/Temp/Rar$DIa0.424/RT03-F12.Vr.1(2017-04-47).xlsx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E202"/>
  <sheetViews>
    <sheetView showGridLines="0" view="pageBreakPreview" topLeftCell="J19" zoomScale="80" zoomScaleNormal="20" zoomScaleSheetLayoutView="80" workbookViewId="0">
      <selection activeCell="N25" sqref="N25:N26"/>
    </sheetView>
  </sheetViews>
  <sheetFormatPr baseColWidth="10" defaultColWidth="15.7109375" defaultRowHeight="15" x14ac:dyDescent="0.2"/>
  <cols>
    <col min="1" max="1" width="15.7109375" style="95"/>
    <col min="2" max="14" width="20.7109375" style="95" customWidth="1"/>
    <col min="15" max="16" width="20.7109375" style="97" customWidth="1"/>
    <col min="17" max="17" width="24.28515625" style="97" customWidth="1"/>
    <col min="18" max="26" width="20.7109375" style="97" customWidth="1"/>
    <col min="27" max="33" width="20.7109375" style="95" customWidth="1"/>
    <col min="34" max="34" width="19.85546875" style="95" bestFit="1" customWidth="1"/>
    <col min="35" max="38" width="15.85546875" style="95" bestFit="1" customWidth="1"/>
    <col min="39" max="43" width="16" style="95" customWidth="1"/>
    <col min="44" max="47" width="10.7109375" style="95" customWidth="1"/>
    <col min="48" max="48" width="16" style="95" bestFit="1" customWidth="1"/>
    <col min="49" max="49" width="15.85546875" style="95" bestFit="1" customWidth="1"/>
    <col min="50" max="50" width="20.7109375" style="95" bestFit="1" customWidth="1"/>
    <col min="51" max="51" width="15.85546875" style="95" bestFit="1" customWidth="1"/>
    <col min="52" max="52" width="15.7109375" style="95"/>
    <col min="53" max="53" width="20" style="95" customWidth="1"/>
    <col min="54" max="55" width="10.7109375" style="95" customWidth="1"/>
    <col min="56" max="16384" width="15.7109375" style="95"/>
  </cols>
  <sheetData>
    <row r="1" spans="2:83" ht="30" customHeight="1" x14ac:dyDescent="0.2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2:83" ht="30" customHeight="1" thickBot="1" x14ac:dyDescent="0.25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2:83" ht="30" customHeight="1" x14ac:dyDescent="0.2">
      <c r="B3" s="96"/>
      <c r="C3" s="809" t="s">
        <v>150</v>
      </c>
      <c r="D3" s="810"/>
      <c r="E3" s="810"/>
      <c r="F3" s="810"/>
      <c r="G3" s="810"/>
      <c r="H3" s="810"/>
      <c r="I3" s="810"/>
      <c r="J3" s="810"/>
      <c r="K3" s="811"/>
      <c r="L3" s="96"/>
      <c r="M3" s="96"/>
    </row>
    <row r="4" spans="2:83" ht="30" customHeight="1" thickBot="1" x14ac:dyDescent="0.25">
      <c r="B4" s="96"/>
      <c r="C4" s="812"/>
      <c r="D4" s="813"/>
      <c r="E4" s="813"/>
      <c r="F4" s="813"/>
      <c r="G4" s="813"/>
      <c r="H4" s="813"/>
      <c r="I4" s="813"/>
      <c r="J4" s="813"/>
      <c r="K4" s="814"/>
      <c r="L4" s="96"/>
      <c r="M4" s="96"/>
    </row>
    <row r="5" spans="2:83" ht="30" customHeight="1" thickBot="1" x14ac:dyDescent="0.25">
      <c r="B5" s="96"/>
      <c r="C5" s="815" t="s">
        <v>151</v>
      </c>
      <c r="D5" s="817" t="s">
        <v>7</v>
      </c>
      <c r="E5" s="817" t="s">
        <v>152</v>
      </c>
      <c r="F5" s="817" t="s">
        <v>8</v>
      </c>
      <c r="G5" s="817" t="s">
        <v>75</v>
      </c>
      <c r="H5" s="817" t="s">
        <v>153</v>
      </c>
      <c r="I5" s="817" t="s">
        <v>82</v>
      </c>
      <c r="J5" s="817" t="s">
        <v>154</v>
      </c>
      <c r="K5" s="819" t="s">
        <v>155</v>
      </c>
      <c r="L5" s="821" t="s">
        <v>369</v>
      </c>
      <c r="M5" s="98"/>
    </row>
    <row r="6" spans="2:83" ht="30" customHeight="1" thickBot="1" x14ac:dyDescent="0.25">
      <c r="B6" s="96"/>
      <c r="C6" s="816"/>
      <c r="D6" s="818"/>
      <c r="E6" s="818"/>
      <c r="F6" s="818"/>
      <c r="G6" s="818"/>
      <c r="H6" s="818"/>
      <c r="I6" s="818"/>
      <c r="J6" s="818"/>
      <c r="K6" s="820"/>
      <c r="L6" s="822"/>
      <c r="M6" s="99" t="s">
        <v>370</v>
      </c>
      <c r="N6" s="99" t="s">
        <v>371</v>
      </c>
    </row>
    <row r="7" spans="2:83" ht="30" customHeight="1" thickBot="1" x14ac:dyDescent="0.25">
      <c r="B7" s="96"/>
      <c r="C7" s="100"/>
      <c r="D7" s="101"/>
      <c r="E7" s="101"/>
      <c r="F7" s="101"/>
      <c r="G7" s="101"/>
      <c r="H7" s="101"/>
      <c r="I7" s="101"/>
      <c r="J7" s="101"/>
      <c r="K7" s="102"/>
      <c r="L7" s="96"/>
      <c r="M7" s="99"/>
      <c r="N7" s="103"/>
    </row>
    <row r="8" spans="2:83" s="112" customFormat="1" ht="30" customHeight="1" thickBot="1" x14ac:dyDescent="0.25">
      <c r="B8" s="104"/>
      <c r="C8" s="105"/>
      <c r="D8" s="106"/>
      <c r="E8" s="107"/>
      <c r="F8" s="108"/>
      <c r="G8" s="108"/>
      <c r="H8" s="108"/>
      <c r="I8" s="107"/>
      <c r="J8" s="106"/>
      <c r="K8" s="109"/>
      <c r="L8" s="98"/>
      <c r="M8" s="110">
        <v>2</v>
      </c>
      <c r="N8" s="111">
        <v>0.95450000000000002</v>
      </c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CD8" s="95"/>
      <c r="CE8" s="95"/>
    </row>
    <row r="9" spans="2:83" s="112" customFormat="1" ht="30" customHeight="1" thickBot="1" x14ac:dyDescent="0.25">
      <c r="B9" s="104"/>
      <c r="C9" s="113"/>
      <c r="D9" s="114"/>
      <c r="E9" s="114"/>
      <c r="F9" s="114"/>
      <c r="G9" s="114"/>
      <c r="H9" s="114"/>
      <c r="I9" s="114"/>
      <c r="J9" s="114"/>
      <c r="K9" s="115"/>
      <c r="L9" s="104"/>
      <c r="M9" s="96"/>
      <c r="N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CD9" s="95"/>
      <c r="CE9" s="95"/>
    </row>
    <row r="10" spans="2:83" s="112" customFormat="1" ht="30" customHeight="1" x14ac:dyDescent="0.2"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96"/>
      <c r="N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CD10" s="95"/>
      <c r="CE10" s="95"/>
    </row>
    <row r="11" spans="2:83" s="112" customFormat="1" ht="30" customHeight="1" thickBot="1" x14ac:dyDescent="0.25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96"/>
      <c r="N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CD11" s="95"/>
      <c r="CE11" s="95"/>
    </row>
    <row r="12" spans="2:83" s="112" customFormat="1" ht="30" customHeight="1" x14ac:dyDescent="0.2">
      <c r="B12" s="104"/>
      <c r="C12" s="823" t="s">
        <v>272</v>
      </c>
      <c r="D12" s="824"/>
      <c r="E12" s="824"/>
      <c r="F12" s="824"/>
      <c r="G12" s="824"/>
      <c r="H12" s="824"/>
      <c r="I12" s="824"/>
      <c r="J12" s="824"/>
      <c r="K12" s="824"/>
      <c r="L12" s="825"/>
      <c r="M12" s="96"/>
      <c r="N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CD12" s="95"/>
      <c r="CE12" s="95"/>
    </row>
    <row r="13" spans="2:83" ht="30" customHeight="1" thickBot="1" x14ac:dyDescent="0.25">
      <c r="B13" s="104"/>
      <c r="C13" s="826"/>
      <c r="D13" s="827"/>
      <c r="E13" s="827"/>
      <c r="F13" s="827"/>
      <c r="G13" s="827"/>
      <c r="H13" s="827"/>
      <c r="I13" s="827"/>
      <c r="J13" s="827"/>
      <c r="K13" s="827"/>
      <c r="L13" s="828"/>
      <c r="M13" s="96"/>
    </row>
    <row r="14" spans="2:83" ht="30" customHeight="1" x14ac:dyDescent="0.2">
      <c r="B14" s="104"/>
      <c r="C14" s="829" t="s">
        <v>151</v>
      </c>
      <c r="D14" s="831" t="s">
        <v>3</v>
      </c>
      <c r="E14" s="831" t="s">
        <v>9</v>
      </c>
      <c r="F14" s="831" t="s">
        <v>1</v>
      </c>
      <c r="G14" s="833" t="s">
        <v>45</v>
      </c>
      <c r="H14" s="833" t="s">
        <v>48</v>
      </c>
      <c r="I14" s="831" t="s">
        <v>283</v>
      </c>
      <c r="J14" s="835" t="s">
        <v>67</v>
      </c>
      <c r="K14" s="837" t="s">
        <v>154</v>
      </c>
      <c r="L14" s="839" t="s">
        <v>213</v>
      </c>
      <c r="M14" s="96"/>
    </row>
    <row r="15" spans="2:83" ht="30" customHeight="1" thickBot="1" x14ac:dyDescent="0.25">
      <c r="B15" s="104"/>
      <c r="C15" s="830"/>
      <c r="D15" s="832"/>
      <c r="E15" s="832"/>
      <c r="F15" s="832"/>
      <c r="G15" s="834"/>
      <c r="H15" s="834"/>
      <c r="I15" s="832"/>
      <c r="J15" s="836"/>
      <c r="K15" s="838"/>
      <c r="L15" s="840"/>
      <c r="M15" s="96"/>
    </row>
    <row r="16" spans="2:83" ht="30" customHeight="1" x14ac:dyDescent="0.2">
      <c r="B16" s="104"/>
      <c r="C16" s="100"/>
      <c r="D16" s="101"/>
      <c r="E16" s="101"/>
      <c r="F16" s="101"/>
      <c r="G16" s="101"/>
      <c r="H16" s="101"/>
      <c r="I16" s="101"/>
      <c r="J16" s="101"/>
      <c r="K16" s="101"/>
      <c r="L16" s="102"/>
      <c r="M16" s="96"/>
    </row>
    <row r="17" spans="2:46" ht="30" customHeight="1" x14ac:dyDescent="0.2">
      <c r="B17" s="104"/>
      <c r="C17" s="105"/>
      <c r="D17" s="108"/>
      <c r="E17" s="108"/>
      <c r="F17" s="108"/>
      <c r="G17" s="108"/>
      <c r="H17" s="108"/>
      <c r="I17" s="108"/>
      <c r="J17" s="108"/>
      <c r="K17" s="108"/>
      <c r="L17" s="116"/>
      <c r="M17" s="96"/>
    </row>
    <row r="18" spans="2:46" ht="30" customHeight="1" thickBot="1" x14ac:dyDescent="0.25">
      <c r="B18" s="104"/>
      <c r="C18" s="117"/>
      <c r="D18" s="118"/>
      <c r="E18" s="118"/>
      <c r="F18" s="118"/>
      <c r="G18" s="119"/>
      <c r="H18" s="119"/>
      <c r="I18" s="118"/>
      <c r="J18" s="118"/>
      <c r="K18" s="119"/>
      <c r="L18" s="120"/>
      <c r="M18" s="96"/>
    </row>
    <row r="19" spans="2:46" ht="30" customHeight="1" x14ac:dyDescent="0.2"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96"/>
    </row>
    <row r="20" spans="2:46" ht="30" customHeight="1" x14ac:dyDescent="0.2"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96"/>
      <c r="AS20" s="104"/>
      <c r="AT20" s="96"/>
    </row>
    <row r="21" spans="2:46" ht="30" customHeight="1" x14ac:dyDescent="0.2"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96"/>
      <c r="AS21" s="104"/>
      <c r="AT21" s="96"/>
    </row>
    <row r="22" spans="2:46" ht="30" customHeight="1" thickBot="1" x14ac:dyDescent="0.25"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96"/>
      <c r="AS22" s="104"/>
      <c r="AT22" s="96"/>
    </row>
    <row r="23" spans="2:46" ht="30" customHeight="1" x14ac:dyDescent="0.2">
      <c r="B23" s="104"/>
      <c r="C23" s="809" t="s">
        <v>279</v>
      </c>
      <c r="D23" s="810"/>
      <c r="E23" s="810"/>
      <c r="F23" s="810"/>
      <c r="G23" s="810"/>
      <c r="H23" s="810"/>
      <c r="I23" s="810"/>
      <c r="J23" s="810"/>
      <c r="K23" s="810"/>
      <c r="L23" s="810"/>
      <c r="M23" s="810"/>
      <c r="N23" s="810"/>
      <c r="O23" s="810"/>
      <c r="P23" s="810"/>
      <c r="Q23" s="810"/>
      <c r="R23" s="811"/>
      <c r="AS23" s="104"/>
      <c r="AT23" s="96"/>
    </row>
    <row r="24" spans="2:46" ht="30" customHeight="1" thickBot="1" x14ac:dyDescent="0.25">
      <c r="B24" s="104"/>
      <c r="C24" s="812"/>
      <c r="D24" s="813"/>
      <c r="E24" s="813"/>
      <c r="F24" s="813"/>
      <c r="G24" s="813"/>
      <c r="H24" s="813"/>
      <c r="I24" s="813"/>
      <c r="J24" s="813"/>
      <c r="K24" s="813"/>
      <c r="L24" s="813"/>
      <c r="M24" s="813"/>
      <c r="N24" s="813"/>
      <c r="O24" s="813"/>
      <c r="P24" s="813"/>
      <c r="Q24" s="813"/>
      <c r="R24" s="814"/>
      <c r="AS24" s="104"/>
      <c r="AT24" s="96"/>
    </row>
    <row r="25" spans="2:46" ht="30" customHeight="1" x14ac:dyDescent="0.2">
      <c r="B25" s="104"/>
      <c r="C25" s="841" t="s">
        <v>156</v>
      </c>
      <c r="D25" s="843" t="s">
        <v>0</v>
      </c>
      <c r="E25" s="843" t="s">
        <v>3</v>
      </c>
      <c r="F25" s="843" t="s">
        <v>1</v>
      </c>
      <c r="G25" s="843" t="s">
        <v>157</v>
      </c>
      <c r="H25" s="843" t="s">
        <v>155</v>
      </c>
      <c r="I25" s="845" t="s">
        <v>82</v>
      </c>
      <c r="J25" s="845" t="s">
        <v>158</v>
      </c>
      <c r="K25" s="859" t="s">
        <v>280</v>
      </c>
      <c r="L25" s="859" t="s">
        <v>281</v>
      </c>
      <c r="M25" s="843" t="s">
        <v>159</v>
      </c>
      <c r="N25" s="859" t="s">
        <v>286</v>
      </c>
      <c r="O25" s="845" t="s">
        <v>160</v>
      </c>
      <c r="P25" s="845" t="s">
        <v>324</v>
      </c>
      <c r="Q25" s="847" t="s">
        <v>161</v>
      </c>
      <c r="R25" s="849" t="s">
        <v>115</v>
      </c>
      <c r="AS25" s="104"/>
    </row>
    <row r="26" spans="2:46" ht="30" customHeight="1" thickBot="1" x14ac:dyDescent="0.25">
      <c r="B26" s="104"/>
      <c r="C26" s="842"/>
      <c r="D26" s="844"/>
      <c r="E26" s="844"/>
      <c r="F26" s="844"/>
      <c r="G26" s="844"/>
      <c r="H26" s="844"/>
      <c r="I26" s="846"/>
      <c r="J26" s="846"/>
      <c r="K26" s="860"/>
      <c r="L26" s="860"/>
      <c r="M26" s="844"/>
      <c r="N26" s="860"/>
      <c r="O26" s="846"/>
      <c r="P26" s="846"/>
      <c r="Q26" s="848"/>
      <c r="R26" s="850"/>
      <c r="AS26" s="104"/>
    </row>
    <row r="27" spans="2:46" ht="30" customHeight="1" thickBot="1" x14ac:dyDescent="0.25">
      <c r="B27" s="104"/>
      <c r="C27" s="121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3"/>
      <c r="R27" s="124"/>
      <c r="AS27" s="104"/>
    </row>
    <row r="28" spans="2:46" ht="30" customHeight="1" x14ac:dyDescent="0.2">
      <c r="B28" s="851" t="s">
        <v>289</v>
      </c>
      <c r="C28" s="125" t="s">
        <v>273</v>
      </c>
      <c r="D28" s="126" t="s">
        <v>278</v>
      </c>
      <c r="E28" s="126" t="s">
        <v>227</v>
      </c>
      <c r="F28" s="126" t="s">
        <v>228</v>
      </c>
      <c r="G28" s="126" t="s">
        <v>229</v>
      </c>
      <c r="H28" s="126" t="s">
        <v>284</v>
      </c>
      <c r="I28" s="127">
        <v>42683</v>
      </c>
      <c r="J28" s="126">
        <v>5</v>
      </c>
      <c r="K28" s="126">
        <v>5</v>
      </c>
      <c r="L28" s="126">
        <v>100</v>
      </c>
      <c r="M28" s="128">
        <v>0.09</v>
      </c>
      <c r="N28" s="129">
        <f>J28+(M28)/1000</f>
        <v>5.0000900000000001</v>
      </c>
      <c r="O28" s="126">
        <v>5.2999999999999999E-2</v>
      </c>
      <c r="P28" s="130">
        <v>0.88529999999999998</v>
      </c>
      <c r="Q28" s="126" t="s">
        <v>285</v>
      </c>
      <c r="R28" s="131" t="s">
        <v>291</v>
      </c>
      <c r="AS28" s="104"/>
    </row>
    <row r="29" spans="2:46" ht="30" customHeight="1" x14ac:dyDescent="0.2">
      <c r="B29" s="852"/>
      <c r="C29" s="132" t="s">
        <v>274</v>
      </c>
      <c r="D29" s="133" t="s">
        <v>278</v>
      </c>
      <c r="E29" s="133" t="s">
        <v>227</v>
      </c>
      <c r="F29" s="133" t="s">
        <v>228</v>
      </c>
      <c r="G29" s="133" t="s">
        <v>229</v>
      </c>
      <c r="H29" s="133" t="s">
        <v>284</v>
      </c>
      <c r="I29" s="134">
        <v>42683</v>
      </c>
      <c r="J29" s="133">
        <v>200</v>
      </c>
      <c r="K29" s="133">
        <v>10</v>
      </c>
      <c r="L29" s="133">
        <v>200</v>
      </c>
      <c r="M29" s="133">
        <v>0.05</v>
      </c>
      <c r="N29" s="135">
        <f t="shared" ref="N29:N32" si="0">J29+(M29)/1000</f>
        <v>200.00004999999999</v>
      </c>
      <c r="O29" s="136">
        <v>0.33</v>
      </c>
      <c r="P29" s="137">
        <v>0.88470000000000004</v>
      </c>
      <c r="Q29" s="133" t="s">
        <v>285</v>
      </c>
      <c r="R29" s="138" t="s">
        <v>291</v>
      </c>
      <c r="AS29" s="104"/>
    </row>
    <row r="30" spans="2:46" ht="30" customHeight="1" x14ac:dyDescent="0.2">
      <c r="B30" s="852"/>
      <c r="C30" s="132" t="s">
        <v>275</v>
      </c>
      <c r="D30" s="133" t="s">
        <v>278</v>
      </c>
      <c r="E30" s="133" t="s">
        <v>227</v>
      </c>
      <c r="F30" s="133" t="s">
        <v>228</v>
      </c>
      <c r="G30" s="133" t="s">
        <v>229</v>
      </c>
      <c r="H30" s="133" t="s">
        <v>284</v>
      </c>
      <c r="I30" s="134">
        <v>42683</v>
      </c>
      <c r="J30" s="133">
        <v>1000</v>
      </c>
      <c r="K30" s="133">
        <v>200</v>
      </c>
      <c r="L30" s="133">
        <v>500</v>
      </c>
      <c r="M30" s="133">
        <v>-0.2</v>
      </c>
      <c r="N30" s="139">
        <f t="shared" si="0"/>
        <v>999.99980000000005</v>
      </c>
      <c r="O30" s="140">
        <v>1.7</v>
      </c>
      <c r="P30" s="137">
        <v>0.88219999999999998</v>
      </c>
      <c r="Q30" s="133" t="s">
        <v>285</v>
      </c>
      <c r="R30" s="138" t="s">
        <v>291</v>
      </c>
      <c r="AS30" s="104"/>
    </row>
    <row r="31" spans="2:46" ht="30" customHeight="1" x14ac:dyDescent="0.2">
      <c r="B31" s="852"/>
      <c r="C31" s="132" t="s">
        <v>276</v>
      </c>
      <c r="D31" s="133" t="s">
        <v>278</v>
      </c>
      <c r="E31" s="133" t="s">
        <v>227</v>
      </c>
      <c r="F31" s="133" t="s">
        <v>228</v>
      </c>
      <c r="G31" s="133" t="s">
        <v>229</v>
      </c>
      <c r="H31" s="133" t="s">
        <v>284</v>
      </c>
      <c r="I31" s="134">
        <v>42683</v>
      </c>
      <c r="J31" s="133">
        <v>2000</v>
      </c>
      <c r="K31" s="133">
        <v>1000</v>
      </c>
      <c r="L31" s="133">
        <v>1000</v>
      </c>
      <c r="M31" s="133">
        <v>4.5999999999999996</v>
      </c>
      <c r="N31" s="139">
        <f t="shared" si="0"/>
        <v>2000.0046</v>
      </c>
      <c r="O31" s="133">
        <v>3.3</v>
      </c>
      <c r="P31" s="137">
        <v>0.88249999999999995</v>
      </c>
      <c r="Q31" s="133" t="s">
        <v>285</v>
      </c>
      <c r="R31" s="138" t="s">
        <v>291</v>
      </c>
      <c r="AS31" s="104"/>
    </row>
    <row r="32" spans="2:46" ht="30" customHeight="1" thickBot="1" x14ac:dyDescent="0.25">
      <c r="B32" s="853"/>
      <c r="C32" s="141" t="s">
        <v>277</v>
      </c>
      <c r="D32" s="142" t="s">
        <v>278</v>
      </c>
      <c r="E32" s="142" t="s">
        <v>227</v>
      </c>
      <c r="F32" s="142" t="s">
        <v>228</v>
      </c>
      <c r="G32" s="142" t="s">
        <v>229</v>
      </c>
      <c r="H32" s="142" t="s">
        <v>284</v>
      </c>
      <c r="I32" s="143">
        <v>42683</v>
      </c>
      <c r="J32" s="142">
        <v>5000</v>
      </c>
      <c r="K32" s="142">
        <v>2000</v>
      </c>
      <c r="L32" s="142">
        <v>2000</v>
      </c>
      <c r="M32" s="142">
        <v>4.8</v>
      </c>
      <c r="N32" s="144">
        <f t="shared" si="0"/>
        <v>5000.0047999999997</v>
      </c>
      <c r="O32" s="142">
        <v>8.3000000000000007</v>
      </c>
      <c r="P32" s="145">
        <v>0.88319999999999999</v>
      </c>
      <c r="Q32" s="142" t="s">
        <v>285</v>
      </c>
      <c r="R32" s="146" t="s">
        <v>291</v>
      </c>
      <c r="AS32" s="104"/>
    </row>
    <row r="33" spans="2:45" ht="30" customHeight="1" x14ac:dyDescent="0.2">
      <c r="B33" s="147"/>
      <c r="C33" s="125"/>
      <c r="D33" s="126"/>
      <c r="E33" s="126"/>
      <c r="F33" s="126"/>
      <c r="G33" s="126"/>
      <c r="H33" s="126"/>
      <c r="I33" s="127"/>
      <c r="J33" s="126"/>
      <c r="K33" s="126"/>
      <c r="L33" s="126"/>
      <c r="M33" s="126"/>
      <c r="N33" s="148"/>
      <c r="O33" s="126"/>
      <c r="P33" s="126"/>
      <c r="Q33" s="126"/>
      <c r="R33" s="131"/>
      <c r="AS33" s="104"/>
    </row>
    <row r="34" spans="2:45" ht="30" customHeight="1" x14ac:dyDescent="0.2">
      <c r="B34" s="147"/>
      <c r="C34" s="132"/>
      <c r="D34" s="133"/>
      <c r="E34" s="133"/>
      <c r="F34" s="133"/>
      <c r="G34" s="133"/>
      <c r="H34" s="133"/>
      <c r="I34" s="134"/>
      <c r="J34" s="133"/>
      <c r="K34" s="133"/>
      <c r="L34" s="133"/>
      <c r="M34" s="133"/>
      <c r="N34" s="139"/>
      <c r="O34" s="133"/>
      <c r="P34" s="133"/>
      <c r="Q34" s="133"/>
      <c r="R34" s="149"/>
      <c r="AS34" s="104"/>
    </row>
    <row r="35" spans="2:45" ht="30" customHeight="1" x14ac:dyDescent="0.2">
      <c r="B35" s="147"/>
      <c r="C35" s="132"/>
      <c r="D35" s="133"/>
      <c r="E35" s="133"/>
      <c r="F35" s="133"/>
      <c r="G35" s="133"/>
      <c r="H35" s="133"/>
      <c r="I35" s="134"/>
      <c r="J35" s="133"/>
      <c r="K35" s="133"/>
      <c r="L35" s="133"/>
      <c r="M35" s="133"/>
      <c r="N35" s="139"/>
      <c r="O35" s="133"/>
      <c r="P35" s="133"/>
      <c r="Q35" s="133"/>
      <c r="R35" s="149"/>
      <c r="AS35" s="104"/>
    </row>
    <row r="36" spans="2:45" ht="30" customHeight="1" thickBot="1" x14ac:dyDescent="0.25">
      <c r="B36" s="147"/>
      <c r="C36" s="150"/>
      <c r="D36" s="151"/>
      <c r="E36" s="151"/>
      <c r="F36" s="151"/>
      <c r="G36" s="151"/>
      <c r="H36" s="151"/>
      <c r="I36" s="152"/>
      <c r="J36" s="151"/>
      <c r="K36" s="151"/>
      <c r="L36" s="151"/>
      <c r="M36" s="151"/>
      <c r="N36" s="153"/>
      <c r="O36" s="151"/>
      <c r="P36" s="151"/>
      <c r="Q36" s="151"/>
      <c r="R36" s="154"/>
      <c r="AS36" s="104"/>
    </row>
    <row r="37" spans="2:45" ht="30" customHeight="1" thickBot="1" x14ac:dyDescent="0.25">
      <c r="B37" s="104"/>
      <c r="C37" s="155"/>
      <c r="D37" s="156"/>
      <c r="E37" s="156"/>
      <c r="F37" s="156"/>
      <c r="G37" s="156"/>
      <c r="H37" s="156"/>
      <c r="I37" s="156"/>
      <c r="J37" s="156"/>
      <c r="M37" s="156"/>
      <c r="N37" s="156"/>
      <c r="O37" s="156"/>
      <c r="P37" s="157"/>
      <c r="Q37" s="156"/>
      <c r="R37" s="146"/>
      <c r="AS37" s="104"/>
    </row>
    <row r="38" spans="2:45" ht="30" customHeight="1" x14ac:dyDescent="0.2">
      <c r="B38" s="854" t="s">
        <v>293</v>
      </c>
      <c r="C38" s="125" t="s">
        <v>162</v>
      </c>
      <c r="D38" s="126" t="s">
        <v>163</v>
      </c>
      <c r="E38" s="126" t="s">
        <v>148</v>
      </c>
      <c r="F38" s="126">
        <v>27129360</v>
      </c>
      <c r="G38" s="126" t="s">
        <v>164</v>
      </c>
      <c r="H38" s="126">
        <v>1230</v>
      </c>
      <c r="I38" s="127">
        <v>42631</v>
      </c>
      <c r="J38" s="126">
        <v>1</v>
      </c>
      <c r="K38" s="126">
        <v>4000</v>
      </c>
      <c r="L38" s="126">
        <v>5000</v>
      </c>
      <c r="M38" s="126">
        <v>6.0000000000000001E-3</v>
      </c>
      <c r="N38" s="129">
        <f>J38+(M38)/1000</f>
        <v>1.000006</v>
      </c>
      <c r="O38" s="128">
        <v>0.01</v>
      </c>
      <c r="P38" s="148">
        <f>(0.34848*((752.597+755.909)/2)-0.009024*((44.5+51.2)/2)*EXP(0.0612*((19.7+20.8)/2)))/(273.15+((19.7+20.8)/2))</f>
        <v>0.89076687525312348</v>
      </c>
      <c r="Q38" s="126" t="s">
        <v>165</v>
      </c>
      <c r="R38" s="131" t="s">
        <v>292</v>
      </c>
      <c r="AS38" s="104"/>
    </row>
    <row r="39" spans="2:45" ht="30" customHeight="1" x14ac:dyDescent="0.2">
      <c r="B39" s="855"/>
      <c r="C39" s="132" t="s">
        <v>166</v>
      </c>
      <c r="D39" s="133" t="s">
        <v>163</v>
      </c>
      <c r="E39" s="133" t="s">
        <v>148</v>
      </c>
      <c r="F39" s="133">
        <v>27129360</v>
      </c>
      <c r="G39" s="133" t="s">
        <v>167</v>
      </c>
      <c r="H39" s="133">
        <v>1230</v>
      </c>
      <c r="I39" s="134">
        <v>42631</v>
      </c>
      <c r="J39" s="133">
        <v>2</v>
      </c>
      <c r="K39" s="133">
        <v>5000</v>
      </c>
      <c r="L39" s="158">
        <v>6000</v>
      </c>
      <c r="M39" s="133">
        <v>6.0000000000000001E-3</v>
      </c>
      <c r="N39" s="159">
        <f t="shared" ref="N39:N88" si="1">J39+(M39)/1000</f>
        <v>2.000006</v>
      </c>
      <c r="O39" s="133">
        <v>1.2E-2</v>
      </c>
      <c r="P39" s="139">
        <f t="shared" ref="P39:P54" si="2">(0.34848*((752.597+755.909)/2)-0.009024*((44.5+51.2)/2)*EXP(0.0612*((19.7+20.8)/2)))/(273.15+((19.7+20.8)/2))</f>
        <v>0.89076687525312348</v>
      </c>
      <c r="Q39" s="133" t="str">
        <f t="shared" ref="Q39:Q54" si="3">Q38</f>
        <v>M-001</v>
      </c>
      <c r="R39" s="149" t="s">
        <v>292</v>
      </c>
      <c r="AS39" s="104"/>
    </row>
    <row r="40" spans="2:45" ht="30" customHeight="1" x14ac:dyDescent="0.2">
      <c r="B40" s="855"/>
      <c r="C40" s="132" t="s">
        <v>168</v>
      </c>
      <c r="D40" s="133" t="s">
        <v>163</v>
      </c>
      <c r="E40" s="133" t="s">
        <v>148</v>
      </c>
      <c r="F40" s="133">
        <v>27129360</v>
      </c>
      <c r="G40" s="133" t="s">
        <v>169</v>
      </c>
      <c r="H40" s="133">
        <v>1230</v>
      </c>
      <c r="I40" s="134">
        <v>42631</v>
      </c>
      <c r="J40" s="133">
        <v>2</v>
      </c>
      <c r="K40" s="133">
        <v>10000</v>
      </c>
      <c r="L40" s="158">
        <v>7000</v>
      </c>
      <c r="M40" s="133">
        <v>1.2999999999999999E-2</v>
      </c>
      <c r="N40" s="159">
        <f t="shared" si="1"/>
        <v>2.000013</v>
      </c>
      <c r="O40" s="133">
        <v>1.2E-2</v>
      </c>
      <c r="P40" s="139">
        <f t="shared" si="2"/>
        <v>0.89076687525312348</v>
      </c>
      <c r="Q40" s="133" t="str">
        <f t="shared" si="3"/>
        <v>M-001</v>
      </c>
      <c r="R40" s="149" t="s">
        <v>292</v>
      </c>
      <c r="AS40" s="104"/>
    </row>
    <row r="41" spans="2:45" ht="30" customHeight="1" x14ac:dyDescent="0.2">
      <c r="B41" s="855"/>
      <c r="C41" s="132" t="s">
        <v>170</v>
      </c>
      <c r="D41" s="133" t="s">
        <v>163</v>
      </c>
      <c r="E41" s="133" t="s">
        <v>148</v>
      </c>
      <c r="F41" s="133">
        <v>27129360</v>
      </c>
      <c r="G41" s="133" t="s">
        <v>171</v>
      </c>
      <c r="H41" s="133">
        <v>1230</v>
      </c>
      <c r="I41" s="134">
        <v>42631</v>
      </c>
      <c r="J41" s="133">
        <v>5</v>
      </c>
      <c r="K41" s="133">
        <v>15000</v>
      </c>
      <c r="L41" s="158">
        <v>8000</v>
      </c>
      <c r="M41" s="160">
        <v>-2E-3</v>
      </c>
      <c r="N41" s="159">
        <f t="shared" si="1"/>
        <v>4.9999979999999997</v>
      </c>
      <c r="O41" s="133">
        <v>1.6E-2</v>
      </c>
      <c r="P41" s="139">
        <f t="shared" si="2"/>
        <v>0.89076687525312348</v>
      </c>
      <c r="Q41" s="133" t="str">
        <f t="shared" si="3"/>
        <v>M-001</v>
      </c>
      <c r="R41" s="149" t="s">
        <v>292</v>
      </c>
      <c r="AS41" s="104"/>
    </row>
    <row r="42" spans="2:45" ht="30" customHeight="1" x14ac:dyDescent="0.2">
      <c r="B42" s="855"/>
      <c r="C42" s="132" t="s">
        <v>172</v>
      </c>
      <c r="D42" s="133" t="s">
        <v>163</v>
      </c>
      <c r="E42" s="133" t="s">
        <v>148</v>
      </c>
      <c r="F42" s="133">
        <v>27129360</v>
      </c>
      <c r="G42" s="133" t="s">
        <v>173</v>
      </c>
      <c r="H42" s="133">
        <v>1230</v>
      </c>
      <c r="I42" s="134">
        <v>42631</v>
      </c>
      <c r="J42" s="133">
        <v>10</v>
      </c>
      <c r="K42" s="133">
        <v>20000</v>
      </c>
      <c r="L42" s="158">
        <v>8200</v>
      </c>
      <c r="M42" s="133">
        <v>4.0000000000000001E-3</v>
      </c>
      <c r="N42" s="159">
        <f t="shared" si="1"/>
        <v>10.000004000000001</v>
      </c>
      <c r="O42" s="160">
        <v>0.02</v>
      </c>
      <c r="P42" s="139">
        <f t="shared" si="2"/>
        <v>0.89076687525312348</v>
      </c>
      <c r="Q42" s="133" t="str">
        <f t="shared" si="3"/>
        <v>M-001</v>
      </c>
      <c r="R42" s="149" t="s">
        <v>292</v>
      </c>
      <c r="AS42" s="104"/>
    </row>
    <row r="43" spans="2:45" ht="30" customHeight="1" x14ac:dyDescent="0.2">
      <c r="B43" s="855"/>
      <c r="C43" s="132" t="s">
        <v>174</v>
      </c>
      <c r="D43" s="133" t="s">
        <v>163</v>
      </c>
      <c r="E43" s="133" t="s">
        <v>148</v>
      </c>
      <c r="F43" s="133">
        <v>27129360</v>
      </c>
      <c r="G43" s="133" t="s">
        <v>175</v>
      </c>
      <c r="H43" s="133">
        <v>1230</v>
      </c>
      <c r="I43" s="134">
        <v>42631</v>
      </c>
      <c r="J43" s="133">
        <v>20</v>
      </c>
      <c r="K43" s="133">
        <v>25000</v>
      </c>
      <c r="L43" s="158">
        <v>10000</v>
      </c>
      <c r="M43" s="133">
        <v>2.7E-2</v>
      </c>
      <c r="N43" s="159">
        <f t="shared" si="1"/>
        <v>20.000026999999999</v>
      </c>
      <c r="O43" s="133">
        <v>2.5000000000000001E-2</v>
      </c>
      <c r="P43" s="139">
        <f t="shared" si="2"/>
        <v>0.89076687525312348</v>
      </c>
      <c r="Q43" s="133" t="str">
        <f t="shared" si="3"/>
        <v>M-001</v>
      </c>
      <c r="R43" s="149" t="s">
        <v>292</v>
      </c>
      <c r="AS43" s="104"/>
    </row>
    <row r="44" spans="2:45" ht="30" customHeight="1" x14ac:dyDescent="0.2">
      <c r="B44" s="855"/>
      <c r="C44" s="132" t="s">
        <v>176</v>
      </c>
      <c r="D44" s="133" t="s">
        <v>163</v>
      </c>
      <c r="E44" s="133" t="s">
        <v>148</v>
      </c>
      <c r="F44" s="133">
        <v>27129360</v>
      </c>
      <c r="G44" s="133" t="s">
        <v>177</v>
      </c>
      <c r="H44" s="133">
        <v>1230</v>
      </c>
      <c r="I44" s="134">
        <v>42631</v>
      </c>
      <c r="J44" s="133">
        <v>20</v>
      </c>
      <c r="K44" s="133">
        <v>30000</v>
      </c>
      <c r="L44" s="158">
        <v>12000</v>
      </c>
      <c r="M44" s="133">
        <v>7.0000000000000001E-3</v>
      </c>
      <c r="N44" s="159">
        <f t="shared" si="1"/>
        <v>20.000007</v>
      </c>
      <c r="O44" s="133">
        <v>2.5000000000000001E-2</v>
      </c>
      <c r="P44" s="139">
        <f t="shared" si="2"/>
        <v>0.89076687525312348</v>
      </c>
      <c r="Q44" s="133" t="str">
        <f t="shared" si="3"/>
        <v>M-001</v>
      </c>
      <c r="R44" s="149" t="s">
        <v>292</v>
      </c>
      <c r="AS44" s="104"/>
    </row>
    <row r="45" spans="2:45" ht="30" customHeight="1" x14ac:dyDescent="0.2">
      <c r="B45" s="855"/>
      <c r="C45" s="132" t="s">
        <v>178</v>
      </c>
      <c r="D45" s="133" t="s">
        <v>163</v>
      </c>
      <c r="E45" s="133" t="s">
        <v>148</v>
      </c>
      <c r="F45" s="133">
        <v>27129360</v>
      </c>
      <c r="G45" s="133" t="s">
        <v>179</v>
      </c>
      <c r="H45" s="133">
        <v>1230</v>
      </c>
      <c r="I45" s="134">
        <v>42631</v>
      </c>
      <c r="J45" s="133">
        <v>50</v>
      </c>
      <c r="K45" s="133">
        <v>40000</v>
      </c>
      <c r="L45" s="158">
        <v>15000</v>
      </c>
      <c r="M45" s="133">
        <v>0.03</v>
      </c>
      <c r="N45" s="135">
        <f t="shared" si="1"/>
        <v>50.000030000000002</v>
      </c>
      <c r="O45" s="133">
        <v>0.03</v>
      </c>
      <c r="P45" s="139">
        <f t="shared" si="2"/>
        <v>0.89076687525312348</v>
      </c>
      <c r="Q45" s="133" t="str">
        <f t="shared" si="3"/>
        <v>M-001</v>
      </c>
      <c r="R45" s="149" t="s">
        <v>292</v>
      </c>
      <c r="AS45" s="104"/>
    </row>
    <row r="46" spans="2:45" ht="30" customHeight="1" x14ac:dyDescent="0.2">
      <c r="B46" s="855"/>
      <c r="C46" s="132" t="s">
        <v>180</v>
      </c>
      <c r="D46" s="133" t="s">
        <v>163</v>
      </c>
      <c r="E46" s="133" t="s">
        <v>148</v>
      </c>
      <c r="F46" s="133">
        <v>27129360</v>
      </c>
      <c r="G46" s="133" t="s">
        <v>181</v>
      </c>
      <c r="H46" s="133">
        <v>1230</v>
      </c>
      <c r="I46" s="134">
        <v>42631</v>
      </c>
      <c r="J46" s="133">
        <v>100</v>
      </c>
      <c r="K46" s="161"/>
      <c r="L46" s="162">
        <v>20000</v>
      </c>
      <c r="M46" s="133">
        <v>0.06</v>
      </c>
      <c r="N46" s="135">
        <f t="shared" si="1"/>
        <v>100.00006</v>
      </c>
      <c r="O46" s="133">
        <v>0.05</v>
      </c>
      <c r="P46" s="139">
        <f t="shared" si="2"/>
        <v>0.89076687525312348</v>
      </c>
      <c r="Q46" s="133" t="str">
        <f t="shared" si="3"/>
        <v>M-001</v>
      </c>
      <c r="R46" s="149" t="s">
        <v>292</v>
      </c>
      <c r="AS46" s="104"/>
    </row>
    <row r="47" spans="2:45" ht="30" customHeight="1" x14ac:dyDescent="0.2">
      <c r="B47" s="855"/>
      <c r="C47" s="132" t="s">
        <v>182</v>
      </c>
      <c r="D47" s="133" t="s">
        <v>163</v>
      </c>
      <c r="E47" s="133" t="s">
        <v>148</v>
      </c>
      <c r="F47" s="133">
        <v>27129360</v>
      </c>
      <c r="G47" s="133" t="s">
        <v>183</v>
      </c>
      <c r="H47" s="133">
        <v>1230</v>
      </c>
      <c r="I47" s="134">
        <v>42631</v>
      </c>
      <c r="J47" s="133">
        <v>200</v>
      </c>
      <c r="K47" s="161"/>
      <c r="L47" s="162">
        <v>25000</v>
      </c>
      <c r="M47" s="133">
        <v>-0.06</v>
      </c>
      <c r="N47" s="135">
        <f t="shared" si="1"/>
        <v>199.99994000000001</v>
      </c>
      <c r="O47" s="136">
        <v>0.1</v>
      </c>
      <c r="P47" s="139">
        <f t="shared" si="2"/>
        <v>0.89076687525312348</v>
      </c>
      <c r="Q47" s="133" t="str">
        <f t="shared" si="3"/>
        <v>M-001</v>
      </c>
      <c r="R47" s="149" t="s">
        <v>292</v>
      </c>
      <c r="AS47" s="104"/>
    </row>
    <row r="48" spans="2:45" ht="30" customHeight="1" x14ac:dyDescent="0.2">
      <c r="B48" s="855"/>
      <c r="C48" s="132" t="s">
        <v>184</v>
      </c>
      <c r="D48" s="133" t="s">
        <v>163</v>
      </c>
      <c r="E48" s="133" t="s">
        <v>148</v>
      </c>
      <c r="F48" s="133">
        <v>27129360</v>
      </c>
      <c r="G48" s="133" t="s">
        <v>185</v>
      </c>
      <c r="H48" s="133">
        <v>1230</v>
      </c>
      <c r="I48" s="134">
        <v>42631</v>
      </c>
      <c r="J48" s="133">
        <v>200</v>
      </c>
      <c r="K48" s="161"/>
      <c r="L48" s="162">
        <v>30000</v>
      </c>
      <c r="M48" s="133">
        <v>0.16</v>
      </c>
      <c r="N48" s="135">
        <f t="shared" si="1"/>
        <v>200.00015999999999</v>
      </c>
      <c r="O48" s="136">
        <v>0.1</v>
      </c>
      <c r="P48" s="139">
        <f t="shared" si="2"/>
        <v>0.89076687525312348</v>
      </c>
      <c r="Q48" s="133" t="str">
        <f t="shared" si="3"/>
        <v>M-001</v>
      </c>
      <c r="R48" s="149" t="s">
        <v>292</v>
      </c>
      <c r="AS48" s="104"/>
    </row>
    <row r="49" spans="2:48" ht="30" customHeight="1" x14ac:dyDescent="0.2">
      <c r="B49" s="855"/>
      <c r="C49" s="132" t="s">
        <v>186</v>
      </c>
      <c r="D49" s="133" t="s">
        <v>163</v>
      </c>
      <c r="E49" s="133" t="s">
        <v>148</v>
      </c>
      <c r="F49" s="133">
        <v>27129360</v>
      </c>
      <c r="G49" s="133" t="s">
        <v>187</v>
      </c>
      <c r="H49" s="133">
        <v>1230</v>
      </c>
      <c r="I49" s="134">
        <v>42631</v>
      </c>
      <c r="J49" s="133">
        <v>500</v>
      </c>
      <c r="K49" s="161"/>
      <c r="L49" s="162">
        <v>35000</v>
      </c>
      <c r="M49" s="133">
        <v>0.35</v>
      </c>
      <c r="N49" s="135">
        <f t="shared" si="1"/>
        <v>500.00035000000003</v>
      </c>
      <c r="O49" s="133">
        <v>0.25</v>
      </c>
      <c r="P49" s="139">
        <f t="shared" si="2"/>
        <v>0.89076687525312348</v>
      </c>
      <c r="Q49" s="133" t="str">
        <f t="shared" si="3"/>
        <v>M-001</v>
      </c>
      <c r="R49" s="149" t="s">
        <v>292</v>
      </c>
      <c r="AS49" s="104"/>
    </row>
    <row r="50" spans="2:48" ht="30" customHeight="1" x14ac:dyDescent="0.2">
      <c r="B50" s="855"/>
      <c r="C50" s="132" t="s">
        <v>188</v>
      </c>
      <c r="D50" s="133" t="s">
        <v>163</v>
      </c>
      <c r="E50" s="133" t="s">
        <v>148</v>
      </c>
      <c r="F50" s="133">
        <v>27129360</v>
      </c>
      <c r="G50" s="133" t="s">
        <v>189</v>
      </c>
      <c r="H50" s="133">
        <v>1230</v>
      </c>
      <c r="I50" s="134">
        <v>42631</v>
      </c>
      <c r="J50" s="133">
        <v>1000</v>
      </c>
      <c r="K50" s="161"/>
      <c r="L50" s="162">
        <v>40000</v>
      </c>
      <c r="M50" s="133">
        <v>0.7</v>
      </c>
      <c r="N50" s="139">
        <f t="shared" si="1"/>
        <v>1000.0007000000001</v>
      </c>
      <c r="O50" s="133">
        <v>0.5</v>
      </c>
      <c r="P50" s="139">
        <f t="shared" si="2"/>
        <v>0.89076687525312348</v>
      </c>
      <c r="Q50" s="133" t="str">
        <f t="shared" si="3"/>
        <v>M-001</v>
      </c>
      <c r="R50" s="149" t="s">
        <v>292</v>
      </c>
      <c r="AS50" s="104"/>
    </row>
    <row r="51" spans="2:48" ht="30" customHeight="1" x14ac:dyDescent="0.2">
      <c r="B51" s="855"/>
      <c r="C51" s="132" t="s">
        <v>190</v>
      </c>
      <c r="D51" s="133" t="s">
        <v>163</v>
      </c>
      <c r="E51" s="133" t="s">
        <v>148</v>
      </c>
      <c r="F51" s="133">
        <v>27129360</v>
      </c>
      <c r="G51" s="133" t="s">
        <v>191</v>
      </c>
      <c r="H51" s="133">
        <v>1230</v>
      </c>
      <c r="I51" s="134">
        <v>42631</v>
      </c>
      <c r="J51" s="133">
        <v>2000</v>
      </c>
      <c r="K51" s="161"/>
      <c r="L51" s="162">
        <v>45000</v>
      </c>
      <c r="M51" s="133">
        <v>1.2</v>
      </c>
      <c r="N51" s="139">
        <f t="shared" si="1"/>
        <v>2000.0011999999999</v>
      </c>
      <c r="O51" s="140">
        <v>1</v>
      </c>
      <c r="P51" s="139">
        <f t="shared" si="2"/>
        <v>0.89076687525312348</v>
      </c>
      <c r="Q51" s="133" t="str">
        <f t="shared" si="3"/>
        <v>M-001</v>
      </c>
      <c r="R51" s="149" t="s">
        <v>292</v>
      </c>
      <c r="AS51" s="104"/>
    </row>
    <row r="52" spans="2:48" ht="30" customHeight="1" x14ac:dyDescent="0.2">
      <c r="B52" s="855"/>
      <c r="C52" s="132" t="s">
        <v>192</v>
      </c>
      <c r="D52" s="133" t="s">
        <v>163</v>
      </c>
      <c r="E52" s="133" t="s">
        <v>148</v>
      </c>
      <c r="F52" s="133">
        <v>27129360</v>
      </c>
      <c r="G52" s="133" t="s">
        <v>193</v>
      </c>
      <c r="H52" s="133">
        <v>1230</v>
      </c>
      <c r="I52" s="134">
        <v>42631</v>
      </c>
      <c r="J52" s="133">
        <v>2000</v>
      </c>
      <c r="K52" s="162"/>
      <c r="L52" s="162">
        <v>50000</v>
      </c>
      <c r="M52" s="133">
        <v>1.1000000000000001</v>
      </c>
      <c r="N52" s="139">
        <f t="shared" si="1"/>
        <v>2000.0011</v>
      </c>
      <c r="O52" s="140">
        <v>1</v>
      </c>
      <c r="P52" s="139">
        <f t="shared" si="2"/>
        <v>0.89076687525312348</v>
      </c>
      <c r="Q52" s="133" t="str">
        <f t="shared" si="3"/>
        <v>M-001</v>
      </c>
      <c r="R52" s="149" t="s">
        <v>292</v>
      </c>
      <c r="AS52" s="104"/>
    </row>
    <row r="53" spans="2:48" ht="30" customHeight="1" x14ac:dyDescent="0.2">
      <c r="B53" s="855"/>
      <c r="C53" s="132" t="s">
        <v>194</v>
      </c>
      <c r="D53" s="133" t="s">
        <v>163</v>
      </c>
      <c r="E53" s="133" t="s">
        <v>148</v>
      </c>
      <c r="F53" s="133">
        <v>27129360</v>
      </c>
      <c r="G53" s="133" t="s">
        <v>195</v>
      </c>
      <c r="H53" s="133">
        <v>1230</v>
      </c>
      <c r="I53" s="134">
        <v>42631</v>
      </c>
      <c r="J53" s="133">
        <v>5000</v>
      </c>
      <c r="K53" s="162"/>
      <c r="L53" s="161"/>
      <c r="M53" s="133">
        <v>3.7</v>
      </c>
      <c r="N53" s="139">
        <f t="shared" si="1"/>
        <v>5000.0037000000002</v>
      </c>
      <c r="O53" s="133">
        <v>2.5</v>
      </c>
      <c r="P53" s="139">
        <f t="shared" si="2"/>
        <v>0.89076687525312348</v>
      </c>
      <c r="Q53" s="133" t="str">
        <f t="shared" si="3"/>
        <v>M-001</v>
      </c>
      <c r="R53" s="149" t="s">
        <v>292</v>
      </c>
      <c r="AS53" s="104"/>
    </row>
    <row r="54" spans="2:48" ht="30" customHeight="1" thickBot="1" x14ac:dyDescent="0.25">
      <c r="B54" s="856"/>
      <c r="C54" s="150" t="s">
        <v>196</v>
      </c>
      <c r="D54" s="151" t="s">
        <v>163</v>
      </c>
      <c r="E54" s="151" t="s">
        <v>148</v>
      </c>
      <c r="F54" s="151">
        <v>27129360</v>
      </c>
      <c r="G54" s="151" t="s">
        <v>197</v>
      </c>
      <c r="H54" s="151">
        <v>1230</v>
      </c>
      <c r="I54" s="152">
        <v>42631</v>
      </c>
      <c r="J54" s="151">
        <v>10000</v>
      </c>
      <c r="K54" s="163"/>
      <c r="L54" s="164"/>
      <c r="M54" s="151">
        <v>8.6999999999999993</v>
      </c>
      <c r="N54" s="153">
        <f t="shared" si="1"/>
        <v>10000.0087</v>
      </c>
      <c r="O54" s="165">
        <v>5</v>
      </c>
      <c r="P54" s="153">
        <f t="shared" si="2"/>
        <v>0.89076687525312348</v>
      </c>
      <c r="Q54" s="151" t="str">
        <f t="shared" si="3"/>
        <v>M-001</v>
      </c>
      <c r="R54" s="154" t="s">
        <v>292</v>
      </c>
      <c r="AS54" s="104"/>
    </row>
    <row r="55" spans="2:48" ht="30" customHeight="1" x14ac:dyDescent="0.2">
      <c r="B55" s="857" t="s">
        <v>294</v>
      </c>
      <c r="C55" s="166" t="s">
        <v>198</v>
      </c>
      <c r="D55" s="167" t="s">
        <v>199</v>
      </c>
      <c r="E55" s="167" t="s">
        <v>297</v>
      </c>
      <c r="F55" s="167">
        <v>11119515</v>
      </c>
      <c r="G55" s="167">
        <v>1</v>
      </c>
      <c r="H55" s="167">
        <v>100405</v>
      </c>
      <c r="I55" s="168">
        <v>42615</v>
      </c>
      <c r="J55" s="167">
        <v>1</v>
      </c>
      <c r="K55" s="169"/>
      <c r="L55" s="170"/>
      <c r="M55" s="167">
        <v>0.04</v>
      </c>
      <c r="N55" s="171">
        <f t="shared" si="1"/>
        <v>1.00004</v>
      </c>
      <c r="O55" s="167">
        <v>0.03</v>
      </c>
      <c r="P55" s="172">
        <f>(0.34848*((750.3+756.2)/2)-0.009024*((43.6+60.2)/2)*EXP(0.0612*((19.1+21.1)/2)))/(273.15+((19.1+21.1)/2))</f>
        <v>0.88965063908070108</v>
      </c>
      <c r="Q55" s="167" t="s">
        <v>200</v>
      </c>
      <c r="R55" s="138" t="s">
        <v>292</v>
      </c>
      <c r="AS55" s="104"/>
      <c r="AT55" s="96"/>
      <c r="AU55" s="96"/>
    </row>
    <row r="56" spans="2:48" ht="30" customHeight="1" x14ac:dyDescent="0.2">
      <c r="B56" s="857"/>
      <c r="C56" s="132" t="s">
        <v>201</v>
      </c>
      <c r="D56" s="133" t="s">
        <v>199</v>
      </c>
      <c r="E56" s="133" t="s">
        <v>297</v>
      </c>
      <c r="F56" s="133">
        <v>11119515</v>
      </c>
      <c r="G56" s="133" t="s">
        <v>203</v>
      </c>
      <c r="H56" s="133">
        <v>100405</v>
      </c>
      <c r="I56" s="134">
        <f>I55</f>
        <v>42615</v>
      </c>
      <c r="J56" s="133">
        <v>2</v>
      </c>
      <c r="K56" s="162"/>
      <c r="L56" s="161"/>
      <c r="M56" s="133">
        <v>0.06</v>
      </c>
      <c r="N56" s="135">
        <f t="shared" si="1"/>
        <v>2.0000599999999999</v>
      </c>
      <c r="O56" s="133">
        <v>0.04</v>
      </c>
      <c r="P56" s="172">
        <f t="shared" ref="P56:P70" si="4">(0.34848*((750.3+756.2)/2)-0.009024*((43.6+60.2)/2)*EXP(0.0612*((19.1+21.1)/2)))/(273.15+((19.1+21.1)/2))</f>
        <v>0.88965063908070108</v>
      </c>
      <c r="Q56" s="133" t="str">
        <f t="shared" ref="Q56:Q70" si="5">Q55</f>
        <v>M-002</v>
      </c>
      <c r="R56" s="138" t="s">
        <v>292</v>
      </c>
      <c r="AS56" s="104"/>
      <c r="AT56" s="96"/>
      <c r="AU56" s="96"/>
    </row>
    <row r="57" spans="2:48" ht="30" customHeight="1" x14ac:dyDescent="0.2">
      <c r="B57" s="857"/>
      <c r="C57" s="132" t="s">
        <v>202</v>
      </c>
      <c r="D57" s="133" t="s">
        <v>199</v>
      </c>
      <c r="E57" s="133" t="s">
        <v>297</v>
      </c>
      <c r="F57" s="133">
        <v>11119515</v>
      </c>
      <c r="G57" s="133">
        <v>2</v>
      </c>
      <c r="H57" s="133">
        <v>100405</v>
      </c>
      <c r="I57" s="134">
        <f t="shared" ref="I57:I70" si="6">I56</f>
        <v>42615</v>
      </c>
      <c r="J57" s="133">
        <v>2</v>
      </c>
      <c r="K57" s="162"/>
      <c r="L57" s="161"/>
      <c r="M57" s="133">
        <v>0.04</v>
      </c>
      <c r="N57" s="135">
        <f t="shared" si="1"/>
        <v>2.0000399999999998</v>
      </c>
      <c r="O57" s="133">
        <v>0.04</v>
      </c>
      <c r="P57" s="172">
        <f t="shared" si="4"/>
        <v>0.88965063908070108</v>
      </c>
      <c r="Q57" s="133" t="str">
        <f t="shared" si="5"/>
        <v>M-002</v>
      </c>
      <c r="R57" s="138" t="s">
        <v>292</v>
      </c>
      <c r="AS57" s="104"/>
      <c r="AT57" s="96"/>
      <c r="AU57" s="96"/>
    </row>
    <row r="58" spans="2:48" ht="30" customHeight="1" x14ac:dyDescent="0.2">
      <c r="B58" s="857"/>
      <c r="C58" s="132" t="s">
        <v>204</v>
      </c>
      <c r="D58" s="133" t="s">
        <v>199</v>
      </c>
      <c r="E58" s="133" t="s">
        <v>297</v>
      </c>
      <c r="F58" s="133">
        <v>11119515</v>
      </c>
      <c r="G58" s="133">
        <v>5</v>
      </c>
      <c r="H58" s="133">
        <v>100405</v>
      </c>
      <c r="I58" s="134">
        <f t="shared" si="6"/>
        <v>42615</v>
      </c>
      <c r="J58" s="133">
        <v>5</v>
      </c>
      <c r="K58" s="162"/>
      <c r="L58" s="161"/>
      <c r="M58" s="136">
        <v>0</v>
      </c>
      <c r="N58" s="135">
        <f t="shared" si="1"/>
        <v>5</v>
      </c>
      <c r="O58" s="133">
        <v>0.05</v>
      </c>
      <c r="P58" s="172">
        <f t="shared" si="4"/>
        <v>0.88965063908070108</v>
      </c>
      <c r="Q58" s="133" t="str">
        <f t="shared" si="5"/>
        <v>M-002</v>
      </c>
      <c r="R58" s="138" t="s">
        <v>292</v>
      </c>
      <c r="AS58" s="104"/>
      <c r="AT58" s="96"/>
      <c r="AU58" s="96"/>
    </row>
    <row r="59" spans="2:48" ht="30" customHeight="1" x14ac:dyDescent="0.2">
      <c r="B59" s="857"/>
      <c r="C59" s="132" t="s">
        <v>206</v>
      </c>
      <c r="D59" s="133" t="s">
        <v>199</v>
      </c>
      <c r="E59" s="133" t="s">
        <v>297</v>
      </c>
      <c r="F59" s="133">
        <v>11119515</v>
      </c>
      <c r="G59" s="133">
        <v>10</v>
      </c>
      <c r="H59" s="133">
        <v>100405</v>
      </c>
      <c r="I59" s="134">
        <f t="shared" si="6"/>
        <v>42615</v>
      </c>
      <c r="J59" s="133">
        <v>10</v>
      </c>
      <c r="K59" s="162"/>
      <c r="L59" s="161"/>
      <c r="M59" s="133">
        <v>0.05</v>
      </c>
      <c r="N59" s="135">
        <f t="shared" si="1"/>
        <v>10.00005</v>
      </c>
      <c r="O59" s="133">
        <v>0.06</v>
      </c>
      <c r="P59" s="172">
        <f t="shared" si="4"/>
        <v>0.88965063908070108</v>
      </c>
      <c r="Q59" s="133" t="str">
        <f t="shared" si="5"/>
        <v>M-002</v>
      </c>
      <c r="R59" s="138" t="s">
        <v>292</v>
      </c>
      <c r="AS59" s="104"/>
      <c r="AT59" s="96"/>
      <c r="AU59" s="96"/>
    </row>
    <row r="60" spans="2:48" ht="30" customHeight="1" x14ac:dyDescent="0.2">
      <c r="B60" s="857"/>
      <c r="C60" s="132" t="s">
        <v>208</v>
      </c>
      <c r="D60" s="133" t="s">
        <v>199</v>
      </c>
      <c r="E60" s="133" t="s">
        <v>297</v>
      </c>
      <c r="F60" s="133">
        <v>11119515</v>
      </c>
      <c r="G60" s="133" t="s">
        <v>210</v>
      </c>
      <c r="H60" s="133">
        <v>100405</v>
      </c>
      <c r="I60" s="134">
        <f t="shared" si="6"/>
        <v>42615</v>
      </c>
      <c r="J60" s="133">
        <v>20</v>
      </c>
      <c r="K60" s="162"/>
      <c r="L60" s="161"/>
      <c r="M60" s="133">
        <v>7.0000000000000007E-2</v>
      </c>
      <c r="N60" s="135">
        <f t="shared" si="1"/>
        <v>20.000070000000001</v>
      </c>
      <c r="O60" s="133">
        <v>0.08</v>
      </c>
      <c r="P60" s="172">
        <f t="shared" si="4"/>
        <v>0.88965063908070108</v>
      </c>
      <c r="Q60" s="133" t="str">
        <f t="shared" si="5"/>
        <v>M-002</v>
      </c>
      <c r="R60" s="138" t="s">
        <v>292</v>
      </c>
      <c r="AS60" s="104"/>
      <c r="AT60" s="96"/>
      <c r="AU60" s="96"/>
    </row>
    <row r="61" spans="2:48" ht="30" customHeight="1" x14ac:dyDescent="0.2">
      <c r="B61" s="857"/>
      <c r="C61" s="132" t="s">
        <v>209</v>
      </c>
      <c r="D61" s="133" t="s">
        <v>199</v>
      </c>
      <c r="E61" s="133" t="s">
        <v>297</v>
      </c>
      <c r="F61" s="133">
        <v>11119515</v>
      </c>
      <c r="G61" s="133">
        <v>20</v>
      </c>
      <c r="H61" s="133">
        <v>100405</v>
      </c>
      <c r="I61" s="134">
        <f t="shared" si="6"/>
        <v>42615</v>
      </c>
      <c r="J61" s="133">
        <v>20</v>
      </c>
      <c r="K61" s="162"/>
      <c r="L61" s="161"/>
      <c r="M61" s="133">
        <v>0.08</v>
      </c>
      <c r="N61" s="135">
        <f t="shared" si="1"/>
        <v>20.000080000000001</v>
      </c>
      <c r="O61" s="133">
        <v>0.08</v>
      </c>
      <c r="P61" s="172">
        <f t="shared" si="4"/>
        <v>0.88965063908070108</v>
      </c>
      <c r="Q61" s="133" t="str">
        <f t="shared" si="5"/>
        <v>M-002</v>
      </c>
      <c r="R61" s="138" t="s">
        <v>292</v>
      </c>
      <c r="AS61" s="104"/>
      <c r="AT61" s="96"/>
      <c r="AU61" s="96"/>
    </row>
    <row r="62" spans="2:48" ht="30" customHeight="1" x14ac:dyDescent="0.2">
      <c r="B62" s="857"/>
      <c r="C62" s="132" t="s">
        <v>211</v>
      </c>
      <c r="D62" s="133" t="s">
        <v>199</v>
      </c>
      <c r="E62" s="133" t="s">
        <v>297</v>
      </c>
      <c r="F62" s="133">
        <v>11119515</v>
      </c>
      <c r="G62" s="133">
        <v>50</v>
      </c>
      <c r="H62" s="133">
        <v>100405</v>
      </c>
      <c r="I62" s="134">
        <f t="shared" si="6"/>
        <v>42615</v>
      </c>
      <c r="J62" s="133">
        <v>50</v>
      </c>
      <c r="K62" s="162"/>
      <c r="L62" s="161"/>
      <c r="M62" s="133">
        <v>0.19</v>
      </c>
      <c r="N62" s="135">
        <f t="shared" si="1"/>
        <v>50.000190000000003</v>
      </c>
      <c r="O62" s="136">
        <v>0.1</v>
      </c>
      <c r="P62" s="172">
        <f t="shared" si="4"/>
        <v>0.88965063908070108</v>
      </c>
      <c r="Q62" s="133" t="str">
        <f t="shared" si="5"/>
        <v>M-002</v>
      </c>
      <c r="R62" s="138" t="s">
        <v>292</v>
      </c>
      <c r="AS62" s="104"/>
      <c r="AT62" s="96"/>
      <c r="AU62" s="96"/>
    </row>
    <row r="63" spans="2:48" ht="30" customHeight="1" x14ac:dyDescent="0.2">
      <c r="B63" s="857"/>
      <c r="C63" s="132" t="s">
        <v>212</v>
      </c>
      <c r="D63" s="133" t="s">
        <v>199</v>
      </c>
      <c r="E63" s="133" t="s">
        <v>297</v>
      </c>
      <c r="F63" s="133">
        <v>11119515</v>
      </c>
      <c r="G63" s="133">
        <v>100</v>
      </c>
      <c r="H63" s="133">
        <v>100405</v>
      </c>
      <c r="I63" s="134">
        <f t="shared" si="6"/>
        <v>42615</v>
      </c>
      <c r="J63" s="133">
        <v>100</v>
      </c>
      <c r="K63" s="162"/>
      <c r="L63" s="161"/>
      <c r="M63" s="133">
        <v>0.13</v>
      </c>
      <c r="N63" s="135">
        <f t="shared" si="1"/>
        <v>100.00013</v>
      </c>
      <c r="O63" s="133">
        <v>0.16</v>
      </c>
      <c r="P63" s="172">
        <f t="shared" si="4"/>
        <v>0.88965063908070108</v>
      </c>
      <c r="Q63" s="133" t="str">
        <f t="shared" si="5"/>
        <v>M-002</v>
      </c>
      <c r="R63" s="138" t="s">
        <v>292</v>
      </c>
      <c r="AT63" s="104"/>
      <c r="AU63" s="96"/>
      <c r="AV63" s="96"/>
    </row>
    <row r="64" spans="2:48" ht="30" customHeight="1" x14ac:dyDescent="0.2">
      <c r="B64" s="857"/>
      <c r="C64" s="132" t="s">
        <v>214</v>
      </c>
      <c r="D64" s="133" t="s">
        <v>199</v>
      </c>
      <c r="E64" s="133" t="s">
        <v>297</v>
      </c>
      <c r="F64" s="133">
        <v>11119515</v>
      </c>
      <c r="G64" s="133" t="s">
        <v>216</v>
      </c>
      <c r="H64" s="133">
        <v>100405</v>
      </c>
      <c r="I64" s="134">
        <f t="shared" si="6"/>
        <v>42615</v>
      </c>
      <c r="J64" s="133">
        <v>200</v>
      </c>
      <c r="K64" s="162"/>
      <c r="L64" s="161"/>
      <c r="M64" s="133">
        <v>0.2</v>
      </c>
      <c r="N64" s="139">
        <f t="shared" si="1"/>
        <v>200.00020000000001</v>
      </c>
      <c r="O64" s="133">
        <v>0.3</v>
      </c>
      <c r="P64" s="172">
        <f t="shared" si="4"/>
        <v>0.88965063908070108</v>
      </c>
      <c r="Q64" s="133" t="str">
        <f t="shared" si="5"/>
        <v>M-002</v>
      </c>
      <c r="R64" s="138" t="s">
        <v>292</v>
      </c>
      <c r="AT64" s="104"/>
      <c r="AU64" s="96"/>
      <c r="AV64" s="96"/>
    </row>
    <row r="65" spans="2:50" ht="30" customHeight="1" x14ac:dyDescent="0.2">
      <c r="B65" s="857"/>
      <c r="C65" s="132" t="s">
        <v>215</v>
      </c>
      <c r="D65" s="133" t="s">
        <v>199</v>
      </c>
      <c r="E65" s="133" t="s">
        <v>297</v>
      </c>
      <c r="F65" s="133">
        <v>11119515</v>
      </c>
      <c r="G65" s="133">
        <v>200</v>
      </c>
      <c r="H65" s="133">
        <v>100405</v>
      </c>
      <c r="I65" s="134">
        <f t="shared" si="6"/>
        <v>42615</v>
      </c>
      <c r="J65" s="133">
        <v>200</v>
      </c>
      <c r="K65" s="162"/>
      <c r="L65" s="161"/>
      <c r="M65" s="133">
        <v>0.3</v>
      </c>
      <c r="N65" s="139">
        <f t="shared" si="1"/>
        <v>200.00030000000001</v>
      </c>
      <c r="O65" s="133">
        <v>0.3</v>
      </c>
      <c r="P65" s="172">
        <f t="shared" si="4"/>
        <v>0.88965063908070108</v>
      </c>
      <c r="Q65" s="133" t="str">
        <f t="shared" si="5"/>
        <v>M-002</v>
      </c>
      <c r="R65" s="138" t="s">
        <v>292</v>
      </c>
      <c r="AT65" s="104"/>
      <c r="AU65" s="96"/>
      <c r="AV65" s="96"/>
    </row>
    <row r="66" spans="2:50" ht="30" customHeight="1" x14ac:dyDescent="0.2">
      <c r="B66" s="857"/>
      <c r="C66" s="132" t="s">
        <v>217</v>
      </c>
      <c r="D66" s="133" t="s">
        <v>199</v>
      </c>
      <c r="E66" s="133" t="s">
        <v>297</v>
      </c>
      <c r="F66" s="133">
        <v>11119515</v>
      </c>
      <c r="G66" s="133">
        <v>500</v>
      </c>
      <c r="H66" s="133">
        <v>100405</v>
      </c>
      <c r="I66" s="134">
        <f t="shared" si="6"/>
        <v>42615</v>
      </c>
      <c r="J66" s="133">
        <v>500</v>
      </c>
      <c r="K66" s="162"/>
      <c r="L66" s="161"/>
      <c r="M66" s="133">
        <v>0.8</v>
      </c>
      <c r="N66" s="139">
        <f t="shared" si="1"/>
        <v>500.00080000000003</v>
      </c>
      <c r="O66" s="133">
        <v>0.8</v>
      </c>
      <c r="P66" s="172">
        <f t="shared" si="4"/>
        <v>0.88965063908070108</v>
      </c>
      <c r="Q66" s="133" t="str">
        <f t="shared" si="5"/>
        <v>M-002</v>
      </c>
      <c r="R66" s="138" t="s">
        <v>292</v>
      </c>
      <c r="AI66" s="173"/>
      <c r="AJ66" s="173"/>
      <c r="AK66" s="173"/>
      <c r="AQ66" s="174"/>
      <c r="AR66" s="174"/>
      <c r="AS66" s="104"/>
      <c r="AT66" s="104"/>
      <c r="AU66" s="96"/>
      <c r="AV66" s="96"/>
    </row>
    <row r="67" spans="2:50" ht="30" customHeight="1" x14ac:dyDescent="0.2">
      <c r="B67" s="857"/>
      <c r="C67" s="132" t="s">
        <v>218</v>
      </c>
      <c r="D67" s="133" t="s">
        <v>199</v>
      </c>
      <c r="E67" s="133" t="s">
        <v>297</v>
      </c>
      <c r="F67" s="133">
        <v>11119515</v>
      </c>
      <c r="G67" s="133">
        <v>1</v>
      </c>
      <c r="H67" s="133">
        <v>100405</v>
      </c>
      <c r="I67" s="134">
        <f t="shared" si="6"/>
        <v>42615</v>
      </c>
      <c r="J67" s="133">
        <v>1000</v>
      </c>
      <c r="K67" s="162"/>
      <c r="L67" s="162"/>
      <c r="M67" s="133">
        <v>1.9</v>
      </c>
      <c r="N67" s="139">
        <f t="shared" si="1"/>
        <v>1000.0019</v>
      </c>
      <c r="O67" s="133">
        <v>1.6</v>
      </c>
      <c r="P67" s="172">
        <f t="shared" si="4"/>
        <v>0.88965063908070108</v>
      </c>
      <c r="Q67" s="133" t="str">
        <f t="shared" si="5"/>
        <v>M-002</v>
      </c>
      <c r="R67" s="138" t="s">
        <v>292</v>
      </c>
      <c r="AI67" s="175"/>
      <c r="AJ67" s="175"/>
      <c r="AK67" s="175"/>
      <c r="AQ67" s="175"/>
      <c r="AR67" s="175"/>
      <c r="AS67" s="175"/>
      <c r="AT67" s="175"/>
      <c r="AU67" s="175"/>
      <c r="AV67" s="175"/>
      <c r="AW67" s="175"/>
      <c r="AX67" s="175"/>
    </row>
    <row r="68" spans="2:50" ht="30" customHeight="1" x14ac:dyDescent="0.2">
      <c r="B68" s="857"/>
      <c r="C68" s="132" t="s">
        <v>219</v>
      </c>
      <c r="D68" s="133" t="s">
        <v>199</v>
      </c>
      <c r="E68" s="133" t="s">
        <v>297</v>
      </c>
      <c r="F68" s="133">
        <v>11119515</v>
      </c>
      <c r="G68" s="133" t="s">
        <v>203</v>
      </c>
      <c r="H68" s="133">
        <v>100405</v>
      </c>
      <c r="I68" s="134">
        <f t="shared" si="6"/>
        <v>42615</v>
      </c>
      <c r="J68" s="133">
        <v>2000</v>
      </c>
      <c r="K68" s="162"/>
      <c r="L68" s="162"/>
      <c r="M68" s="140">
        <v>2.2000000000000002</v>
      </c>
      <c r="N68" s="139">
        <f t="shared" si="1"/>
        <v>2000.0021999999999</v>
      </c>
      <c r="O68" s="140">
        <v>3</v>
      </c>
      <c r="P68" s="172">
        <f t="shared" si="4"/>
        <v>0.88965063908070108</v>
      </c>
      <c r="Q68" s="133" t="str">
        <f t="shared" si="5"/>
        <v>M-002</v>
      </c>
      <c r="R68" s="138" t="s">
        <v>292</v>
      </c>
      <c r="AE68" s="175"/>
      <c r="AF68" s="175"/>
      <c r="AG68" s="175"/>
      <c r="AH68" s="175"/>
      <c r="AI68" s="175"/>
      <c r="AJ68" s="175"/>
      <c r="AK68" s="175"/>
      <c r="AQ68" s="175"/>
      <c r="AR68" s="175"/>
      <c r="AS68" s="175"/>
      <c r="AT68" s="175"/>
      <c r="AU68" s="175"/>
      <c r="AV68" s="175"/>
      <c r="AW68" s="175"/>
      <c r="AX68" s="175"/>
    </row>
    <row r="69" spans="2:50" ht="30" customHeight="1" x14ac:dyDescent="0.2">
      <c r="B69" s="857"/>
      <c r="C69" s="132" t="s">
        <v>220</v>
      </c>
      <c r="D69" s="133" t="s">
        <v>199</v>
      </c>
      <c r="E69" s="133" t="s">
        <v>297</v>
      </c>
      <c r="F69" s="133">
        <v>11119515</v>
      </c>
      <c r="G69" s="133">
        <v>2</v>
      </c>
      <c r="H69" s="133">
        <v>100405</v>
      </c>
      <c r="I69" s="134">
        <f t="shared" si="6"/>
        <v>42615</v>
      </c>
      <c r="J69" s="133">
        <v>2000</v>
      </c>
      <c r="K69" s="162"/>
      <c r="L69" s="162"/>
      <c r="M69" s="140">
        <v>2</v>
      </c>
      <c r="N69" s="139">
        <f t="shared" si="1"/>
        <v>2000.002</v>
      </c>
      <c r="O69" s="140">
        <v>3</v>
      </c>
      <c r="P69" s="172">
        <f t="shared" si="4"/>
        <v>0.88965063908070108</v>
      </c>
      <c r="Q69" s="133" t="str">
        <f t="shared" si="5"/>
        <v>M-002</v>
      </c>
      <c r="R69" s="138" t="s">
        <v>292</v>
      </c>
      <c r="S69" s="95"/>
      <c r="T69" s="95"/>
      <c r="U69" s="95"/>
      <c r="V69" s="95"/>
      <c r="W69" s="95"/>
      <c r="X69" s="9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Q69" s="175"/>
      <c r="AR69" s="175"/>
      <c r="AS69" s="175"/>
      <c r="AT69" s="175"/>
      <c r="AU69" s="175"/>
      <c r="AV69" s="175"/>
      <c r="AW69" s="175"/>
      <c r="AX69" s="175"/>
    </row>
    <row r="70" spans="2:50" ht="30" customHeight="1" thickBot="1" x14ac:dyDescent="0.25">
      <c r="B70" s="858"/>
      <c r="C70" s="141" t="s">
        <v>221</v>
      </c>
      <c r="D70" s="142" t="s">
        <v>199</v>
      </c>
      <c r="E70" s="142" t="s">
        <v>297</v>
      </c>
      <c r="F70" s="142">
        <v>11119515</v>
      </c>
      <c r="G70" s="142">
        <v>5</v>
      </c>
      <c r="H70" s="142">
        <v>100405</v>
      </c>
      <c r="I70" s="143">
        <f t="shared" si="6"/>
        <v>42615</v>
      </c>
      <c r="J70" s="142">
        <v>5000</v>
      </c>
      <c r="K70" s="176"/>
      <c r="L70" s="176"/>
      <c r="M70" s="142">
        <v>5.9</v>
      </c>
      <c r="N70" s="177">
        <f t="shared" si="1"/>
        <v>5000.0059000000001</v>
      </c>
      <c r="O70" s="178">
        <v>8</v>
      </c>
      <c r="P70" s="157">
        <f t="shared" si="4"/>
        <v>0.88965063908070108</v>
      </c>
      <c r="Q70" s="142" t="str">
        <f t="shared" si="5"/>
        <v>M-002</v>
      </c>
      <c r="R70" s="146" t="s">
        <v>292</v>
      </c>
      <c r="S70" s="95"/>
      <c r="T70" s="95"/>
      <c r="U70" s="95"/>
      <c r="V70" s="95"/>
      <c r="W70" s="95"/>
      <c r="X70" s="9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Q70" s="175"/>
      <c r="AR70" s="175"/>
      <c r="AS70" s="175"/>
      <c r="AT70" s="175"/>
      <c r="AU70" s="175"/>
      <c r="AV70" s="175"/>
      <c r="AW70" s="175"/>
      <c r="AX70" s="175"/>
    </row>
    <row r="71" spans="2:50" ht="30" customHeight="1" thickBot="1" x14ac:dyDescent="0.25">
      <c r="B71" s="179" t="s">
        <v>296</v>
      </c>
      <c r="C71" s="125" t="s">
        <v>222</v>
      </c>
      <c r="D71" s="126" t="s">
        <v>199</v>
      </c>
      <c r="E71" s="126" t="s">
        <v>297</v>
      </c>
      <c r="F71" s="126">
        <v>11119467</v>
      </c>
      <c r="G71" s="126">
        <v>10</v>
      </c>
      <c r="H71" s="126">
        <v>1257</v>
      </c>
      <c r="I71" s="127">
        <v>42692</v>
      </c>
      <c r="J71" s="126">
        <v>10000</v>
      </c>
      <c r="K71" s="180"/>
      <c r="L71" s="180"/>
      <c r="M71" s="126">
        <v>8</v>
      </c>
      <c r="N71" s="128">
        <f t="shared" si="1"/>
        <v>10000.008</v>
      </c>
      <c r="O71" s="126">
        <v>16</v>
      </c>
      <c r="P71" s="130">
        <f>(0.34848*((750.712+752.294)/2)-0.009024*((52.2+56.3)/2)*EXP(0.0612*((20.3+20.4)/2)))/(273.15+((20.3+20.4)/2))</f>
        <v>0.88648336980110287</v>
      </c>
      <c r="Q71" s="126" t="s">
        <v>223</v>
      </c>
      <c r="R71" s="131" t="s">
        <v>292</v>
      </c>
      <c r="S71" s="95"/>
      <c r="T71" s="95"/>
      <c r="U71" s="95"/>
      <c r="V71" s="95"/>
      <c r="W71" s="95"/>
      <c r="X71" s="9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Q71" s="175"/>
      <c r="AR71" s="175"/>
      <c r="AS71" s="175"/>
      <c r="AT71" s="175"/>
      <c r="AU71" s="175"/>
      <c r="AV71" s="175"/>
      <c r="AW71" s="175"/>
      <c r="AX71" s="175"/>
    </row>
    <row r="72" spans="2:50" ht="30" customHeight="1" thickBot="1" x14ac:dyDescent="0.25">
      <c r="B72" s="179" t="s">
        <v>296</v>
      </c>
      <c r="C72" s="150" t="s">
        <v>224</v>
      </c>
      <c r="D72" s="151" t="s">
        <v>199</v>
      </c>
      <c r="E72" s="151" t="s">
        <v>297</v>
      </c>
      <c r="F72" s="151">
        <v>11119468</v>
      </c>
      <c r="G72" s="151">
        <v>20</v>
      </c>
      <c r="H72" s="151">
        <v>1258</v>
      </c>
      <c r="I72" s="152">
        <v>42695</v>
      </c>
      <c r="J72" s="151">
        <v>20000</v>
      </c>
      <c r="K72" s="163"/>
      <c r="L72" s="163"/>
      <c r="M72" s="151">
        <v>0</v>
      </c>
      <c r="N72" s="181">
        <f t="shared" si="1"/>
        <v>20000</v>
      </c>
      <c r="O72" s="151">
        <v>30</v>
      </c>
      <c r="P72" s="182">
        <f>(0.34848*((751.3+751.5)/2)-0.009024*((54.1+55.5)/2)*EXP(0.0612*((19.7+20.3)/2)))/(273.15+((19.7+20.3)/2))</f>
        <v>0.88748470987269767</v>
      </c>
      <c r="Q72" s="151" t="s">
        <v>225</v>
      </c>
      <c r="R72" s="183" t="s">
        <v>292</v>
      </c>
      <c r="S72" s="95"/>
      <c r="T72" s="95"/>
      <c r="U72" s="95"/>
      <c r="V72" s="95"/>
      <c r="W72" s="95"/>
      <c r="X72" s="9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Q72" s="175"/>
      <c r="AR72" s="175"/>
      <c r="AS72" s="175"/>
      <c r="AT72" s="175"/>
      <c r="AU72" s="175"/>
      <c r="AV72" s="175"/>
      <c r="AW72" s="175"/>
      <c r="AX72" s="175"/>
    </row>
    <row r="73" spans="2:50" ht="30" customHeight="1" x14ac:dyDescent="0.2">
      <c r="B73" s="871" t="s">
        <v>295</v>
      </c>
      <c r="C73" s="166" t="s">
        <v>226</v>
      </c>
      <c r="D73" s="167" t="s">
        <v>199</v>
      </c>
      <c r="E73" s="167" t="s">
        <v>227</v>
      </c>
      <c r="F73" s="167" t="s">
        <v>298</v>
      </c>
      <c r="G73" s="167" t="s">
        <v>229</v>
      </c>
      <c r="H73" s="167" t="s">
        <v>230</v>
      </c>
      <c r="I73" s="168">
        <v>42683</v>
      </c>
      <c r="J73" s="167">
        <v>1</v>
      </c>
      <c r="K73" s="169"/>
      <c r="L73" s="169"/>
      <c r="M73" s="184">
        <v>0.04</v>
      </c>
      <c r="N73" s="171">
        <f t="shared" si="1"/>
        <v>1.00004</v>
      </c>
      <c r="O73" s="167">
        <v>3.3000000000000002E-2</v>
      </c>
      <c r="P73" s="185">
        <v>0.88229999999999997</v>
      </c>
      <c r="Q73" s="167" t="s">
        <v>231</v>
      </c>
      <c r="R73" s="138" t="s">
        <v>291</v>
      </c>
      <c r="S73" s="95"/>
      <c r="T73" s="95"/>
      <c r="U73" s="95"/>
      <c r="V73" s="95"/>
      <c r="W73" s="95"/>
      <c r="X73" s="9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</row>
    <row r="74" spans="2:50" ht="30" customHeight="1" x14ac:dyDescent="0.2">
      <c r="B74" s="857"/>
      <c r="C74" s="132" t="s">
        <v>232</v>
      </c>
      <c r="D74" s="133" t="s">
        <v>199</v>
      </c>
      <c r="E74" s="133" t="s">
        <v>227</v>
      </c>
      <c r="F74" s="167" t="s">
        <v>298</v>
      </c>
      <c r="G74" s="133" t="s">
        <v>229</v>
      </c>
      <c r="H74" s="133" t="s">
        <v>230</v>
      </c>
      <c r="I74" s="168">
        <v>42683</v>
      </c>
      <c r="J74" s="133">
        <v>2</v>
      </c>
      <c r="K74" s="162"/>
      <c r="L74" s="162"/>
      <c r="M74" s="160">
        <v>0.04</v>
      </c>
      <c r="N74" s="135">
        <f t="shared" si="1"/>
        <v>2.0000399999999998</v>
      </c>
      <c r="O74" s="160">
        <v>0.04</v>
      </c>
      <c r="P74" s="186">
        <v>0.88200000000000001</v>
      </c>
      <c r="Q74" s="133" t="str">
        <f>Q73</f>
        <v>M-016</v>
      </c>
      <c r="R74" s="138" t="s">
        <v>291</v>
      </c>
      <c r="S74" s="95"/>
      <c r="T74" s="95"/>
      <c r="U74" s="95"/>
      <c r="V74" s="95"/>
      <c r="W74" s="95"/>
      <c r="X74" s="9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</row>
    <row r="75" spans="2:50" ht="30" customHeight="1" x14ac:dyDescent="0.2">
      <c r="B75" s="857"/>
      <c r="C75" s="132" t="s">
        <v>233</v>
      </c>
      <c r="D75" s="133" t="s">
        <v>199</v>
      </c>
      <c r="E75" s="133" t="s">
        <v>227</v>
      </c>
      <c r="F75" s="167" t="s">
        <v>298</v>
      </c>
      <c r="G75" s="133" t="s">
        <v>234</v>
      </c>
      <c r="H75" s="133" t="s">
        <v>230</v>
      </c>
      <c r="I75" s="168">
        <v>42683</v>
      </c>
      <c r="J75" s="133">
        <v>2</v>
      </c>
      <c r="K75" s="162"/>
      <c r="L75" s="162"/>
      <c r="M75" s="133">
        <v>5.3999999999999999E-2</v>
      </c>
      <c r="N75" s="159">
        <f t="shared" si="1"/>
        <v>2.000054</v>
      </c>
      <c r="O75" s="160">
        <v>0.04</v>
      </c>
      <c r="P75" s="137">
        <v>0.88190000000000002</v>
      </c>
      <c r="Q75" s="133" t="str">
        <f t="shared" ref="Q75:Q88" si="7">Q74</f>
        <v>M-016</v>
      </c>
      <c r="R75" s="138" t="s">
        <v>291</v>
      </c>
      <c r="U75" s="95"/>
      <c r="V75" s="95"/>
      <c r="W75" s="95"/>
      <c r="X75" s="9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</row>
    <row r="76" spans="2:50" ht="30" customHeight="1" x14ac:dyDescent="0.2">
      <c r="B76" s="857"/>
      <c r="C76" s="132" t="s">
        <v>235</v>
      </c>
      <c r="D76" s="133" t="s">
        <v>199</v>
      </c>
      <c r="E76" s="133" t="s">
        <v>227</v>
      </c>
      <c r="F76" s="167" t="s">
        <v>298</v>
      </c>
      <c r="G76" s="133" t="s">
        <v>229</v>
      </c>
      <c r="H76" s="133" t="s">
        <v>230</v>
      </c>
      <c r="I76" s="168">
        <v>42683</v>
      </c>
      <c r="J76" s="133">
        <v>5</v>
      </c>
      <c r="K76" s="162"/>
      <c r="L76" s="162"/>
      <c r="M76" s="133">
        <v>8.7999999999999995E-2</v>
      </c>
      <c r="N76" s="159">
        <f t="shared" si="1"/>
        <v>5.0000879999999999</v>
      </c>
      <c r="O76" s="133">
        <v>5.2999999999999999E-2</v>
      </c>
      <c r="P76" s="186">
        <v>0.88200000000000001</v>
      </c>
      <c r="Q76" s="133" t="str">
        <f t="shared" si="7"/>
        <v>M-016</v>
      </c>
      <c r="R76" s="138" t="s">
        <v>291</v>
      </c>
      <c r="U76" s="95"/>
      <c r="V76" s="95"/>
      <c r="W76" s="95"/>
      <c r="X76" s="9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</row>
    <row r="77" spans="2:50" ht="30" customHeight="1" x14ac:dyDescent="0.2">
      <c r="B77" s="857"/>
      <c r="C77" s="132" t="s">
        <v>236</v>
      </c>
      <c r="D77" s="133" t="s">
        <v>199</v>
      </c>
      <c r="E77" s="133" t="s">
        <v>227</v>
      </c>
      <c r="F77" s="167" t="s">
        <v>298</v>
      </c>
      <c r="G77" s="133" t="s">
        <v>229</v>
      </c>
      <c r="H77" s="133" t="s">
        <v>230</v>
      </c>
      <c r="I77" s="168">
        <v>42683</v>
      </c>
      <c r="J77" s="133">
        <v>10</v>
      </c>
      <c r="K77" s="162"/>
      <c r="L77" s="162"/>
      <c r="M77" s="133">
        <v>8.7999999999999995E-2</v>
      </c>
      <c r="N77" s="159">
        <f t="shared" si="1"/>
        <v>10.000088</v>
      </c>
      <c r="O77" s="133">
        <v>6.7000000000000004E-2</v>
      </c>
      <c r="P77" s="137">
        <v>0.8821</v>
      </c>
      <c r="Q77" s="133" t="str">
        <f t="shared" si="7"/>
        <v>M-016</v>
      </c>
      <c r="R77" s="138" t="s">
        <v>291</v>
      </c>
      <c r="U77" s="95"/>
      <c r="V77" s="95"/>
      <c r="W77" s="95"/>
      <c r="X77" s="95"/>
      <c r="Y77" s="95"/>
      <c r="Z77" s="9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</row>
    <row r="78" spans="2:50" ht="30" customHeight="1" x14ac:dyDescent="0.2">
      <c r="B78" s="857"/>
      <c r="C78" s="132" t="s">
        <v>237</v>
      </c>
      <c r="D78" s="133" t="s">
        <v>199</v>
      </c>
      <c r="E78" s="133" t="s">
        <v>227</v>
      </c>
      <c r="F78" s="167" t="s">
        <v>298</v>
      </c>
      <c r="G78" s="133" t="s">
        <v>229</v>
      </c>
      <c r="H78" s="133" t="s">
        <v>230</v>
      </c>
      <c r="I78" s="168">
        <v>42683</v>
      </c>
      <c r="J78" s="133">
        <v>20</v>
      </c>
      <c r="K78" s="162"/>
      <c r="L78" s="162"/>
      <c r="M78" s="133">
        <v>9.2999999999999999E-2</v>
      </c>
      <c r="N78" s="159">
        <f t="shared" si="1"/>
        <v>20.000093</v>
      </c>
      <c r="O78" s="133">
        <v>8.3000000000000004E-2</v>
      </c>
      <c r="P78" s="137">
        <v>0.88229999999999997</v>
      </c>
      <c r="Q78" s="133" t="str">
        <f t="shared" si="7"/>
        <v>M-016</v>
      </c>
      <c r="R78" s="138" t="s">
        <v>291</v>
      </c>
      <c r="U78" s="95"/>
      <c r="V78" s="95"/>
      <c r="W78" s="95"/>
      <c r="X78" s="95"/>
      <c r="Y78" s="95"/>
      <c r="Z78" s="9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</row>
    <row r="79" spans="2:50" ht="30" customHeight="1" x14ac:dyDescent="0.2">
      <c r="B79" s="857"/>
      <c r="C79" s="132" t="s">
        <v>238</v>
      </c>
      <c r="D79" s="133" t="s">
        <v>199</v>
      </c>
      <c r="E79" s="133" t="s">
        <v>227</v>
      </c>
      <c r="F79" s="167" t="s">
        <v>298</v>
      </c>
      <c r="G79" s="133" t="s">
        <v>234</v>
      </c>
      <c r="H79" s="133" t="s">
        <v>230</v>
      </c>
      <c r="I79" s="168">
        <v>42683</v>
      </c>
      <c r="J79" s="133">
        <v>20</v>
      </c>
      <c r="K79" s="162"/>
      <c r="L79" s="162"/>
      <c r="M79" s="133">
        <v>9.0999999999999998E-2</v>
      </c>
      <c r="N79" s="159">
        <f t="shared" si="1"/>
        <v>20.000091000000001</v>
      </c>
      <c r="O79" s="133">
        <v>8.3000000000000004E-2</v>
      </c>
      <c r="P79" s="137">
        <v>0.88239999999999996</v>
      </c>
      <c r="Q79" s="133" t="str">
        <f t="shared" si="7"/>
        <v>M-016</v>
      </c>
      <c r="R79" s="138" t="s">
        <v>291</v>
      </c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</row>
    <row r="80" spans="2:50" ht="30" customHeight="1" x14ac:dyDescent="0.2">
      <c r="B80" s="857"/>
      <c r="C80" s="132" t="s">
        <v>239</v>
      </c>
      <c r="D80" s="133" t="s">
        <v>199</v>
      </c>
      <c r="E80" s="133" t="s">
        <v>227</v>
      </c>
      <c r="F80" s="167" t="s">
        <v>298</v>
      </c>
      <c r="G80" s="133" t="s">
        <v>229</v>
      </c>
      <c r="H80" s="133" t="s">
        <v>230</v>
      </c>
      <c r="I80" s="168">
        <v>42683</v>
      </c>
      <c r="J80" s="133">
        <v>50</v>
      </c>
      <c r="K80" s="162"/>
      <c r="L80" s="162"/>
      <c r="M80" s="133">
        <v>0.08</v>
      </c>
      <c r="N80" s="135">
        <f t="shared" si="1"/>
        <v>50.000079999999997</v>
      </c>
      <c r="O80" s="136">
        <v>0.1</v>
      </c>
      <c r="P80" s="137">
        <v>0.88239999999999996</v>
      </c>
      <c r="Q80" s="133" t="str">
        <f t="shared" si="7"/>
        <v>M-016</v>
      </c>
      <c r="R80" s="138" t="s">
        <v>291</v>
      </c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</row>
    <row r="81" spans="2:50" ht="30" customHeight="1" x14ac:dyDescent="0.2">
      <c r="B81" s="857"/>
      <c r="C81" s="132" t="s">
        <v>240</v>
      </c>
      <c r="D81" s="133" t="s">
        <v>199</v>
      </c>
      <c r="E81" s="133" t="s">
        <v>227</v>
      </c>
      <c r="F81" s="167" t="s">
        <v>298</v>
      </c>
      <c r="G81" s="133" t="s">
        <v>229</v>
      </c>
      <c r="H81" s="133" t="s">
        <v>230</v>
      </c>
      <c r="I81" s="168">
        <v>42683</v>
      </c>
      <c r="J81" s="133">
        <v>100</v>
      </c>
      <c r="K81" s="162"/>
      <c r="L81" s="162"/>
      <c r="M81" s="133">
        <v>0.08</v>
      </c>
      <c r="N81" s="135">
        <f t="shared" si="1"/>
        <v>100.00008</v>
      </c>
      <c r="O81" s="133">
        <v>0.17</v>
      </c>
      <c r="P81" s="137">
        <v>0.88539999999999996</v>
      </c>
      <c r="Q81" s="133" t="str">
        <f t="shared" si="7"/>
        <v>M-016</v>
      </c>
      <c r="R81" s="138" t="s">
        <v>291</v>
      </c>
      <c r="U81" s="95"/>
      <c r="V81" s="95"/>
      <c r="W81" s="95"/>
      <c r="X81" s="95"/>
      <c r="Y81" s="95"/>
      <c r="Z81" s="9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V81" s="175"/>
      <c r="AW81" s="175"/>
      <c r="AX81" s="175"/>
    </row>
    <row r="82" spans="2:50" ht="30" customHeight="1" x14ac:dyDescent="0.2">
      <c r="B82" s="857"/>
      <c r="C82" s="132" t="s">
        <v>241</v>
      </c>
      <c r="D82" s="133" t="s">
        <v>199</v>
      </c>
      <c r="E82" s="133" t="s">
        <v>227</v>
      </c>
      <c r="F82" s="167" t="s">
        <v>298</v>
      </c>
      <c r="G82" s="133" t="s">
        <v>229</v>
      </c>
      <c r="H82" s="133" t="s">
        <v>230</v>
      </c>
      <c r="I82" s="168">
        <v>42683</v>
      </c>
      <c r="J82" s="133">
        <v>200</v>
      </c>
      <c r="K82" s="162"/>
      <c r="L82" s="162"/>
      <c r="M82" s="133">
        <v>0.28999999999999998</v>
      </c>
      <c r="N82" s="135">
        <f t="shared" si="1"/>
        <v>200.00029000000001</v>
      </c>
      <c r="O82" s="133">
        <v>0.33</v>
      </c>
      <c r="P82" s="137">
        <v>0.88519999999999999</v>
      </c>
      <c r="Q82" s="133" t="str">
        <f t="shared" si="7"/>
        <v>M-016</v>
      </c>
      <c r="R82" s="138" t="s">
        <v>291</v>
      </c>
      <c r="U82" s="95"/>
      <c r="V82" s="95"/>
      <c r="W82" s="95"/>
      <c r="X82" s="95"/>
      <c r="Y82" s="95"/>
      <c r="Z82" s="9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V82" s="175"/>
      <c r="AW82" s="175"/>
      <c r="AX82" s="175"/>
    </row>
    <row r="83" spans="2:50" ht="30" customHeight="1" x14ac:dyDescent="0.2">
      <c r="B83" s="857"/>
      <c r="C83" s="132" t="s">
        <v>242</v>
      </c>
      <c r="D83" s="133" t="s">
        <v>199</v>
      </c>
      <c r="E83" s="133" t="s">
        <v>227</v>
      </c>
      <c r="F83" s="167" t="s">
        <v>298</v>
      </c>
      <c r="G83" s="133" t="s">
        <v>234</v>
      </c>
      <c r="H83" s="133" t="s">
        <v>230</v>
      </c>
      <c r="I83" s="168">
        <v>42683</v>
      </c>
      <c r="J83" s="133">
        <v>200</v>
      </c>
      <c r="K83" s="162"/>
      <c r="L83" s="162"/>
      <c r="M83" s="133">
        <v>0.33</v>
      </c>
      <c r="N83" s="135">
        <f t="shared" si="1"/>
        <v>200.00032999999999</v>
      </c>
      <c r="O83" s="133">
        <v>0.33</v>
      </c>
      <c r="P83" s="186">
        <v>0.88500000000000001</v>
      </c>
      <c r="Q83" s="133" t="str">
        <f t="shared" si="7"/>
        <v>M-016</v>
      </c>
      <c r="R83" s="138" t="s">
        <v>291</v>
      </c>
      <c r="U83" s="95"/>
      <c r="V83" s="95"/>
      <c r="W83" s="95"/>
      <c r="X83" s="95"/>
      <c r="Y83" s="95"/>
      <c r="Z83" s="9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V83" s="175"/>
      <c r="AW83" s="175"/>
      <c r="AX83" s="175"/>
    </row>
    <row r="84" spans="2:50" ht="30" customHeight="1" x14ac:dyDescent="0.2">
      <c r="B84" s="857"/>
      <c r="C84" s="132" t="s">
        <v>243</v>
      </c>
      <c r="D84" s="133" t="s">
        <v>199</v>
      </c>
      <c r="E84" s="133" t="s">
        <v>227</v>
      </c>
      <c r="F84" s="167" t="s">
        <v>298</v>
      </c>
      <c r="G84" s="133" t="s">
        <v>229</v>
      </c>
      <c r="H84" s="133" t="s">
        <v>230</v>
      </c>
      <c r="I84" s="168">
        <v>42683</v>
      </c>
      <c r="J84" s="133">
        <v>500</v>
      </c>
      <c r="K84" s="162"/>
      <c r="L84" s="162"/>
      <c r="M84" s="133">
        <v>0.94</v>
      </c>
      <c r="N84" s="135">
        <f t="shared" si="1"/>
        <v>500.00094000000001</v>
      </c>
      <c r="O84" s="133">
        <v>0.83</v>
      </c>
      <c r="P84" s="137">
        <v>0.88539999999999996</v>
      </c>
      <c r="Q84" s="133" t="str">
        <f t="shared" si="7"/>
        <v>M-016</v>
      </c>
      <c r="R84" s="138" t="s">
        <v>291</v>
      </c>
      <c r="S84" s="95"/>
      <c r="T84" s="95"/>
      <c r="U84" s="95"/>
      <c r="V84" s="95"/>
      <c r="W84" s="95"/>
      <c r="X84" s="95"/>
      <c r="Y84" s="95"/>
      <c r="Z84" s="9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V84" s="175"/>
      <c r="AW84" s="175"/>
      <c r="AX84" s="175"/>
    </row>
    <row r="85" spans="2:50" ht="30" customHeight="1" x14ac:dyDescent="0.2">
      <c r="B85" s="857"/>
      <c r="C85" s="132" t="s">
        <v>244</v>
      </c>
      <c r="D85" s="133" t="s">
        <v>199</v>
      </c>
      <c r="E85" s="133" t="s">
        <v>227</v>
      </c>
      <c r="F85" s="167" t="s">
        <v>298</v>
      </c>
      <c r="G85" s="133" t="s">
        <v>229</v>
      </c>
      <c r="H85" s="133" t="s">
        <v>230</v>
      </c>
      <c r="I85" s="168">
        <v>42683</v>
      </c>
      <c r="J85" s="133">
        <v>1000</v>
      </c>
      <c r="K85" s="162"/>
      <c r="L85" s="162"/>
      <c r="M85" s="140">
        <v>0</v>
      </c>
      <c r="N85" s="139">
        <f t="shared" si="1"/>
        <v>1000</v>
      </c>
      <c r="O85" s="133">
        <v>1.7</v>
      </c>
      <c r="P85" s="137">
        <v>0.88449999999999995</v>
      </c>
      <c r="Q85" s="133" t="str">
        <f t="shared" si="7"/>
        <v>M-016</v>
      </c>
      <c r="R85" s="138" t="s">
        <v>291</v>
      </c>
      <c r="S85" s="95"/>
      <c r="T85" s="95"/>
      <c r="U85" s="95"/>
      <c r="V85" s="95"/>
      <c r="W85" s="95"/>
      <c r="X85" s="95"/>
      <c r="Y85" s="95"/>
      <c r="Z85" s="9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V85" s="175"/>
      <c r="AW85" s="175"/>
      <c r="AX85" s="175"/>
    </row>
    <row r="86" spans="2:50" ht="30" customHeight="1" x14ac:dyDescent="0.2">
      <c r="B86" s="857"/>
      <c r="C86" s="132" t="s">
        <v>245</v>
      </c>
      <c r="D86" s="133" t="s">
        <v>199</v>
      </c>
      <c r="E86" s="133" t="s">
        <v>227</v>
      </c>
      <c r="F86" s="167" t="s">
        <v>298</v>
      </c>
      <c r="G86" s="133" t="s">
        <v>229</v>
      </c>
      <c r="H86" s="133" t="s">
        <v>230</v>
      </c>
      <c r="I86" s="168">
        <v>42683</v>
      </c>
      <c r="J86" s="133">
        <v>2000</v>
      </c>
      <c r="K86" s="162"/>
      <c r="L86" s="162"/>
      <c r="M86" s="140">
        <v>3</v>
      </c>
      <c r="N86" s="139">
        <f t="shared" si="1"/>
        <v>2000.0029999999999</v>
      </c>
      <c r="O86" s="133">
        <v>3.3</v>
      </c>
      <c r="P86" s="137">
        <v>0.88429999999999997</v>
      </c>
      <c r="Q86" s="133" t="str">
        <f t="shared" si="7"/>
        <v>M-016</v>
      </c>
      <c r="R86" s="138" t="s">
        <v>291</v>
      </c>
      <c r="S86" s="95"/>
      <c r="T86" s="95"/>
      <c r="U86" s="95"/>
      <c r="V86" s="95"/>
      <c r="W86" s="95"/>
      <c r="X86" s="95"/>
      <c r="Y86" s="95"/>
      <c r="Z86" s="9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V86" s="175"/>
      <c r="AW86" s="175"/>
      <c r="AX86" s="175"/>
    </row>
    <row r="87" spans="2:50" ht="30" customHeight="1" x14ac:dyDescent="0.2">
      <c r="B87" s="857"/>
      <c r="C87" s="132" t="s">
        <v>246</v>
      </c>
      <c r="D87" s="133" t="s">
        <v>199</v>
      </c>
      <c r="E87" s="133" t="s">
        <v>227</v>
      </c>
      <c r="F87" s="167" t="s">
        <v>298</v>
      </c>
      <c r="G87" s="133" t="s">
        <v>234</v>
      </c>
      <c r="H87" s="133" t="s">
        <v>230</v>
      </c>
      <c r="I87" s="168">
        <v>42683</v>
      </c>
      <c r="J87" s="133">
        <v>2000</v>
      </c>
      <c r="K87" s="162"/>
      <c r="L87" s="162"/>
      <c r="M87" s="133">
        <v>3.9</v>
      </c>
      <c r="N87" s="139">
        <f t="shared" si="1"/>
        <v>2000.0038999999999</v>
      </c>
      <c r="O87" s="133">
        <v>3.3</v>
      </c>
      <c r="P87" s="137">
        <v>0.8841</v>
      </c>
      <c r="Q87" s="133" t="str">
        <f>Q86</f>
        <v>M-016</v>
      </c>
      <c r="R87" s="138" t="s">
        <v>291</v>
      </c>
      <c r="S87" s="95"/>
      <c r="T87" s="95"/>
      <c r="U87" s="9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V87" s="175"/>
      <c r="AW87" s="175"/>
      <c r="AX87" s="175"/>
    </row>
    <row r="88" spans="2:50" ht="30" customHeight="1" thickBot="1" x14ac:dyDescent="0.25">
      <c r="B88" s="858"/>
      <c r="C88" s="150" t="s">
        <v>247</v>
      </c>
      <c r="D88" s="151" t="s">
        <v>199</v>
      </c>
      <c r="E88" s="151" t="s">
        <v>227</v>
      </c>
      <c r="F88" s="167" t="s">
        <v>298</v>
      </c>
      <c r="G88" s="151" t="s">
        <v>229</v>
      </c>
      <c r="H88" s="151" t="s">
        <v>230</v>
      </c>
      <c r="I88" s="168">
        <v>42683</v>
      </c>
      <c r="J88" s="151">
        <v>5000</v>
      </c>
      <c r="K88" s="163"/>
      <c r="L88" s="163"/>
      <c r="M88" s="151">
        <v>7.7</v>
      </c>
      <c r="N88" s="153">
        <f t="shared" si="1"/>
        <v>5000.0077000000001</v>
      </c>
      <c r="O88" s="151">
        <v>8.3000000000000007</v>
      </c>
      <c r="P88" s="187">
        <v>0.88370000000000004</v>
      </c>
      <c r="Q88" s="151" t="str">
        <f t="shared" si="7"/>
        <v>M-016</v>
      </c>
      <c r="R88" s="138" t="s">
        <v>291</v>
      </c>
      <c r="U88" s="9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V88" s="175"/>
      <c r="AW88" s="175"/>
      <c r="AX88" s="175"/>
    </row>
    <row r="89" spans="2:50" ht="30" customHeight="1" x14ac:dyDescent="0.2">
      <c r="B89" s="188"/>
      <c r="U89" s="9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V89" s="175"/>
      <c r="AW89" s="175"/>
      <c r="AX89" s="175"/>
    </row>
    <row r="90" spans="2:50" ht="30" customHeight="1" x14ac:dyDescent="0.2">
      <c r="B90" s="188"/>
      <c r="U90" s="9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V90" s="175"/>
      <c r="AW90" s="175"/>
      <c r="AX90" s="175"/>
    </row>
    <row r="91" spans="2:50" ht="30" customHeight="1" x14ac:dyDescent="0.2">
      <c r="O91" s="95"/>
      <c r="P91" s="95"/>
      <c r="Q91" s="95"/>
      <c r="R91" s="95"/>
      <c r="S91" s="95"/>
      <c r="T91" s="95"/>
      <c r="U91" s="9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V91" s="175"/>
      <c r="AW91" s="175"/>
      <c r="AX91" s="175"/>
    </row>
    <row r="92" spans="2:50" ht="30" customHeight="1" x14ac:dyDescent="0.2">
      <c r="O92" s="95"/>
      <c r="P92" s="95"/>
      <c r="Q92" s="95"/>
      <c r="R92" s="95"/>
      <c r="S92" s="95"/>
      <c r="T92" s="95"/>
      <c r="U92" s="9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V92" s="175"/>
      <c r="AW92" s="175"/>
      <c r="AX92" s="175"/>
    </row>
    <row r="93" spans="2:50" ht="30" customHeight="1" x14ac:dyDescent="0.2">
      <c r="O93" s="95"/>
      <c r="P93" s="95"/>
      <c r="Q93" s="95"/>
      <c r="R93" s="95"/>
      <c r="S93" s="95"/>
      <c r="T93" s="95"/>
      <c r="U93" s="9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V93" s="175"/>
      <c r="AW93" s="175"/>
      <c r="AX93" s="175"/>
    </row>
    <row r="94" spans="2:50" ht="30" customHeight="1" x14ac:dyDescent="0.2">
      <c r="O94" s="95"/>
      <c r="P94" s="95"/>
      <c r="Q94" s="95"/>
      <c r="R94" s="95"/>
      <c r="S94" s="95"/>
      <c r="T94" s="95"/>
      <c r="U94" s="9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V94" s="175"/>
      <c r="AW94" s="175"/>
      <c r="AX94" s="175"/>
    </row>
    <row r="95" spans="2:50" ht="30" customHeight="1" thickBot="1" x14ac:dyDescent="0.25">
      <c r="O95" s="95"/>
      <c r="P95" s="95"/>
      <c r="Q95" s="95"/>
      <c r="R95" s="95"/>
      <c r="S95" s="95"/>
      <c r="T95" s="95"/>
      <c r="U95" s="9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V95" s="175"/>
      <c r="AW95" s="175"/>
      <c r="AX95" s="175"/>
    </row>
    <row r="96" spans="2:50" ht="30" customHeight="1" x14ac:dyDescent="0.2">
      <c r="B96" s="188"/>
      <c r="C96" s="872" t="s">
        <v>262</v>
      </c>
      <c r="D96" s="873"/>
      <c r="E96" s="873"/>
      <c r="F96" s="873"/>
      <c r="G96" s="873"/>
      <c r="H96" s="873"/>
      <c r="I96" s="873"/>
      <c r="J96" s="873"/>
      <c r="K96" s="873"/>
      <c r="L96" s="873"/>
      <c r="M96" s="873"/>
      <c r="N96" s="873"/>
      <c r="O96" s="873"/>
      <c r="P96" s="873"/>
      <c r="Q96" s="873"/>
      <c r="R96" s="873"/>
      <c r="S96" s="873"/>
      <c r="T96" s="874"/>
      <c r="U96" s="9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V96" s="175"/>
      <c r="AW96" s="175"/>
      <c r="AX96" s="175"/>
    </row>
    <row r="97" spans="1:50" ht="30" customHeight="1" thickBot="1" x14ac:dyDescent="0.25">
      <c r="B97" s="188"/>
      <c r="C97" s="875"/>
      <c r="D97" s="876"/>
      <c r="E97" s="876"/>
      <c r="F97" s="876"/>
      <c r="G97" s="876"/>
      <c r="H97" s="876"/>
      <c r="I97" s="876"/>
      <c r="J97" s="876"/>
      <c r="K97" s="876"/>
      <c r="L97" s="876"/>
      <c r="M97" s="876"/>
      <c r="N97" s="876"/>
      <c r="O97" s="876"/>
      <c r="P97" s="876"/>
      <c r="Q97" s="876"/>
      <c r="R97" s="876"/>
      <c r="S97" s="876"/>
      <c r="T97" s="877"/>
      <c r="U97" s="9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V97" s="175"/>
      <c r="AW97" s="175"/>
      <c r="AX97" s="175"/>
    </row>
    <row r="98" spans="1:50" ht="30" customHeight="1" thickBot="1" x14ac:dyDescent="0.25">
      <c r="B98" s="188"/>
      <c r="C98" s="878" t="s">
        <v>325</v>
      </c>
      <c r="D98" s="879"/>
      <c r="E98" s="879"/>
      <c r="F98" s="879"/>
      <c r="G98" s="879"/>
      <c r="H98" s="879"/>
      <c r="I98" s="879"/>
      <c r="J98" s="879"/>
      <c r="K98" s="879"/>
      <c r="L98" s="879"/>
      <c r="M98" s="879"/>
      <c r="N98" s="879"/>
      <c r="O98" s="879"/>
      <c r="P98" s="879"/>
      <c r="Q98" s="879"/>
      <c r="R98" s="879"/>
      <c r="S98" s="879"/>
      <c r="T98" s="880"/>
      <c r="U98" s="9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V98" s="175"/>
      <c r="AW98" s="175"/>
      <c r="AX98" s="175"/>
    </row>
    <row r="99" spans="1:50" ht="30" customHeight="1" x14ac:dyDescent="0.2">
      <c r="B99" s="188"/>
      <c r="C99" s="175"/>
      <c r="D99" s="881" t="s">
        <v>3</v>
      </c>
      <c r="E99" s="861" t="s">
        <v>263</v>
      </c>
      <c r="F99" s="861" t="s">
        <v>264</v>
      </c>
      <c r="G99" s="861" t="s">
        <v>265</v>
      </c>
      <c r="H99" s="861" t="s">
        <v>266</v>
      </c>
      <c r="I99" s="861" t="s">
        <v>267</v>
      </c>
      <c r="J99" s="861" t="s">
        <v>268</v>
      </c>
      <c r="K99" s="861" t="s">
        <v>269</v>
      </c>
      <c r="L99" s="863" t="s">
        <v>270</v>
      </c>
      <c r="O99" s="865" t="s">
        <v>342</v>
      </c>
      <c r="P99" s="866" t="s">
        <v>267</v>
      </c>
      <c r="Q99" s="867"/>
      <c r="R99" s="868"/>
      <c r="S99" s="869" t="s">
        <v>269</v>
      </c>
      <c r="T99" s="863" t="s">
        <v>270</v>
      </c>
      <c r="U99" s="9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V99" s="175"/>
      <c r="AW99" s="175"/>
      <c r="AX99" s="175"/>
    </row>
    <row r="100" spans="1:50" ht="30" customHeight="1" thickBot="1" x14ac:dyDescent="0.25">
      <c r="B100" s="188"/>
      <c r="C100" s="189"/>
      <c r="D100" s="882"/>
      <c r="E100" s="862"/>
      <c r="F100" s="862"/>
      <c r="G100" s="862"/>
      <c r="H100" s="862"/>
      <c r="I100" s="862"/>
      <c r="J100" s="862"/>
      <c r="K100" s="862"/>
      <c r="L100" s="864"/>
      <c r="O100" s="865"/>
      <c r="P100" s="866"/>
      <c r="Q100" s="867"/>
      <c r="R100" s="868"/>
      <c r="S100" s="870"/>
      <c r="T100" s="864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V100" s="175"/>
      <c r="AW100" s="175"/>
      <c r="AX100" s="175"/>
    </row>
    <row r="101" spans="1:50" ht="30" customHeight="1" thickBot="1" x14ac:dyDescent="0.25">
      <c r="A101" s="190"/>
      <c r="B101" s="191"/>
      <c r="C101" s="192"/>
      <c r="D101" s="192"/>
      <c r="E101" s="192"/>
      <c r="F101" s="192"/>
      <c r="G101" s="192"/>
      <c r="H101" s="192"/>
      <c r="I101" s="193"/>
      <c r="J101" s="193"/>
      <c r="K101" s="193"/>
      <c r="L101" s="193"/>
      <c r="O101" s="194"/>
      <c r="P101" s="194"/>
      <c r="Q101" s="194"/>
      <c r="R101" s="194"/>
      <c r="S101" s="195"/>
      <c r="T101" s="196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V101" s="175"/>
      <c r="AW101" s="175"/>
      <c r="AX101" s="175"/>
    </row>
    <row r="102" spans="1:50" ht="30" customHeight="1" x14ac:dyDescent="0.2">
      <c r="A102" s="908" t="s">
        <v>339</v>
      </c>
      <c r="B102" s="909"/>
      <c r="C102" s="914" t="s">
        <v>343</v>
      </c>
      <c r="D102" s="917" t="s">
        <v>271</v>
      </c>
      <c r="E102" s="920" t="s">
        <v>313</v>
      </c>
      <c r="F102" s="197">
        <v>18.2</v>
      </c>
      <c r="G102" s="198">
        <v>0.1</v>
      </c>
      <c r="H102" s="199">
        <v>0</v>
      </c>
      <c r="I102" s="923">
        <v>0.2</v>
      </c>
      <c r="J102" s="923">
        <v>1.96</v>
      </c>
      <c r="K102" s="883">
        <v>42580</v>
      </c>
      <c r="L102" s="886" t="s">
        <v>300</v>
      </c>
      <c r="O102" s="200"/>
      <c r="P102" s="201" t="s">
        <v>336</v>
      </c>
      <c r="Q102" s="202" t="s">
        <v>337</v>
      </c>
      <c r="R102" s="202" t="s">
        <v>338</v>
      </c>
      <c r="S102" s="889" t="s">
        <v>344</v>
      </c>
      <c r="T102" s="892" t="s">
        <v>345</v>
      </c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V102" s="175"/>
      <c r="AW102" s="175"/>
      <c r="AX102" s="175"/>
    </row>
    <row r="103" spans="1:50" ht="30" customHeight="1" x14ac:dyDescent="0.2">
      <c r="A103" s="910"/>
      <c r="B103" s="911"/>
      <c r="C103" s="915"/>
      <c r="D103" s="918"/>
      <c r="E103" s="921"/>
      <c r="F103" s="203">
        <v>20.100000000000001</v>
      </c>
      <c r="G103" s="204">
        <v>0.1</v>
      </c>
      <c r="H103" s="205">
        <v>0</v>
      </c>
      <c r="I103" s="904"/>
      <c r="J103" s="904"/>
      <c r="K103" s="884"/>
      <c r="L103" s="887"/>
      <c r="O103" s="895" t="s">
        <v>362</v>
      </c>
      <c r="P103" s="206">
        <f>I102</f>
        <v>0.2</v>
      </c>
      <c r="Q103" s="207">
        <f>I105</f>
        <v>1.7</v>
      </c>
      <c r="R103" s="207">
        <f>I108</f>
        <v>0.06</v>
      </c>
      <c r="S103" s="890"/>
      <c r="T103" s="893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V103" s="175"/>
      <c r="AW103" s="175"/>
      <c r="AX103" s="175"/>
    </row>
    <row r="104" spans="1:50" ht="30" customHeight="1" thickBot="1" x14ac:dyDescent="0.25">
      <c r="A104" s="912"/>
      <c r="B104" s="913"/>
      <c r="C104" s="915"/>
      <c r="D104" s="918"/>
      <c r="E104" s="921"/>
      <c r="F104" s="208">
        <v>22</v>
      </c>
      <c r="G104" s="204">
        <v>0.1</v>
      </c>
      <c r="H104" s="205">
        <v>0</v>
      </c>
      <c r="I104" s="905"/>
      <c r="J104" s="905"/>
      <c r="K104" s="885"/>
      <c r="L104" s="888"/>
      <c r="O104" s="896"/>
      <c r="P104" s="209"/>
      <c r="Q104" s="210"/>
      <c r="R104" s="210"/>
      <c r="S104" s="891"/>
      <c r="T104" s="894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V104" s="175"/>
      <c r="AW104" s="175"/>
      <c r="AX104" s="175"/>
    </row>
    <row r="105" spans="1:50" ht="30" customHeight="1" x14ac:dyDescent="0.2">
      <c r="A105" s="897" t="s">
        <v>340</v>
      </c>
      <c r="B105" s="898"/>
      <c r="C105" s="915"/>
      <c r="D105" s="918"/>
      <c r="E105" s="921"/>
      <c r="F105" s="211">
        <v>41.8</v>
      </c>
      <c r="G105" s="204">
        <v>0.1</v>
      </c>
      <c r="H105" s="211">
        <v>-1.8</v>
      </c>
      <c r="I105" s="903">
        <v>1.7</v>
      </c>
      <c r="J105" s="903">
        <v>1.96</v>
      </c>
      <c r="K105" s="906">
        <v>42586</v>
      </c>
      <c r="L105" s="907" t="s">
        <v>314</v>
      </c>
      <c r="O105" s="95"/>
      <c r="P105" s="95"/>
      <c r="Q105" s="95"/>
      <c r="R105" s="95"/>
      <c r="S105" s="95"/>
      <c r="T105" s="9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V105" s="175"/>
      <c r="AW105" s="175"/>
      <c r="AX105" s="175"/>
    </row>
    <row r="106" spans="1:50" ht="30" customHeight="1" x14ac:dyDescent="0.2">
      <c r="A106" s="899"/>
      <c r="B106" s="900"/>
      <c r="C106" s="915"/>
      <c r="D106" s="918"/>
      <c r="E106" s="921"/>
      <c r="F106" s="211">
        <v>50.4</v>
      </c>
      <c r="G106" s="204">
        <v>0.1</v>
      </c>
      <c r="H106" s="211">
        <v>-0.4</v>
      </c>
      <c r="I106" s="904"/>
      <c r="J106" s="904"/>
      <c r="K106" s="884"/>
      <c r="L106" s="887"/>
      <c r="O106" s="95"/>
      <c r="P106" s="95"/>
      <c r="Q106" s="95"/>
      <c r="R106" s="95"/>
      <c r="S106" s="95"/>
      <c r="T106" s="9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V106" s="175"/>
      <c r="AW106" s="175"/>
      <c r="AX106" s="175"/>
    </row>
    <row r="107" spans="1:50" ht="30" customHeight="1" thickBot="1" x14ac:dyDescent="0.25">
      <c r="A107" s="901"/>
      <c r="B107" s="902"/>
      <c r="C107" s="915"/>
      <c r="D107" s="918"/>
      <c r="E107" s="921"/>
      <c r="F107" s="211">
        <v>59.3</v>
      </c>
      <c r="G107" s="204">
        <v>0.1</v>
      </c>
      <c r="H107" s="211">
        <v>0.8</v>
      </c>
      <c r="I107" s="905"/>
      <c r="J107" s="905"/>
      <c r="K107" s="885"/>
      <c r="L107" s="888"/>
      <c r="O107" s="95"/>
      <c r="P107" s="95"/>
      <c r="Q107" s="95"/>
      <c r="R107" s="95"/>
      <c r="S107" s="9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V107" s="175"/>
      <c r="AW107" s="175"/>
      <c r="AX107" s="175"/>
    </row>
    <row r="108" spans="1:50" ht="30" customHeight="1" x14ac:dyDescent="0.2">
      <c r="A108" s="899" t="s">
        <v>346</v>
      </c>
      <c r="B108" s="900"/>
      <c r="C108" s="915"/>
      <c r="D108" s="918"/>
      <c r="E108" s="921"/>
      <c r="F108" s="211">
        <v>397.9</v>
      </c>
      <c r="G108" s="203">
        <v>0.1</v>
      </c>
      <c r="H108" s="211">
        <v>-1.3</v>
      </c>
      <c r="I108" s="903">
        <v>0.06</v>
      </c>
      <c r="J108" s="903">
        <v>2</v>
      </c>
      <c r="K108" s="906">
        <v>42625</v>
      </c>
      <c r="L108" s="935" t="s">
        <v>315</v>
      </c>
      <c r="O108" s="95"/>
      <c r="P108" s="95"/>
      <c r="Q108" s="95"/>
      <c r="R108" s="95"/>
      <c r="S108" s="9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V108" s="175"/>
      <c r="AW108" s="175"/>
      <c r="AX108" s="175"/>
    </row>
    <row r="109" spans="1:50" ht="30" customHeight="1" x14ac:dyDescent="0.2">
      <c r="A109" s="899"/>
      <c r="B109" s="900"/>
      <c r="C109" s="915"/>
      <c r="D109" s="918"/>
      <c r="E109" s="921"/>
      <c r="F109" s="203">
        <v>753.1</v>
      </c>
      <c r="G109" s="203">
        <v>0.1</v>
      </c>
      <c r="H109" s="203">
        <v>-0.74</v>
      </c>
      <c r="I109" s="904"/>
      <c r="J109" s="904"/>
      <c r="K109" s="884"/>
      <c r="L109" s="936"/>
      <c r="O109" s="95"/>
      <c r="P109" s="95"/>
      <c r="Q109" s="95"/>
      <c r="R109" s="95"/>
      <c r="S109" s="9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V109" s="175"/>
      <c r="AW109" s="175"/>
      <c r="AX109" s="175"/>
    </row>
    <row r="110" spans="1:50" ht="30" customHeight="1" thickBot="1" x14ac:dyDescent="0.25">
      <c r="A110" s="901"/>
      <c r="B110" s="902"/>
      <c r="C110" s="916"/>
      <c r="D110" s="919"/>
      <c r="E110" s="922"/>
      <c r="F110" s="212">
        <v>899</v>
      </c>
      <c r="G110" s="213">
        <v>0.1</v>
      </c>
      <c r="H110" s="213">
        <v>-0.09</v>
      </c>
      <c r="I110" s="924"/>
      <c r="J110" s="924"/>
      <c r="K110" s="934"/>
      <c r="L110" s="937"/>
      <c r="O110" s="95"/>
      <c r="P110" s="95"/>
      <c r="Q110" s="95"/>
      <c r="R110" s="95"/>
      <c r="S110" s="9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V110" s="175"/>
      <c r="AW110" s="175"/>
      <c r="AX110" s="175"/>
    </row>
    <row r="111" spans="1:50" ht="30" customHeight="1" thickBot="1" x14ac:dyDescent="0.25">
      <c r="A111" s="214"/>
      <c r="B111" s="214"/>
      <c r="C111" s="215"/>
      <c r="D111" s="216"/>
      <c r="E111" s="217"/>
      <c r="F111" s="218"/>
      <c r="G111" s="215"/>
      <c r="H111" s="215"/>
      <c r="I111" s="215"/>
      <c r="J111" s="215"/>
      <c r="K111" s="219"/>
      <c r="L111" s="215"/>
      <c r="O111" s="95"/>
      <c r="P111" s="95"/>
      <c r="Q111" s="95"/>
      <c r="R111" s="95"/>
      <c r="S111" s="95"/>
      <c r="U111" s="9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</row>
    <row r="112" spans="1:50" ht="30" customHeight="1" thickBot="1" x14ac:dyDescent="0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O112" s="95"/>
      <c r="P112" s="95"/>
      <c r="Q112" s="95"/>
      <c r="R112" s="95"/>
      <c r="S112" s="95"/>
      <c r="U112" s="9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</row>
    <row r="113" spans="1:50" ht="30" customHeight="1" x14ac:dyDescent="0.2">
      <c r="A113" s="938" t="s">
        <v>339</v>
      </c>
      <c r="B113" s="939"/>
      <c r="C113" s="914" t="s">
        <v>347</v>
      </c>
      <c r="D113" s="944" t="s">
        <v>271</v>
      </c>
      <c r="E113" s="920">
        <v>19506160802033</v>
      </c>
      <c r="F113" s="199">
        <v>20</v>
      </c>
      <c r="G113" s="198">
        <v>0.1</v>
      </c>
      <c r="H113" s="198">
        <v>-0.1</v>
      </c>
      <c r="I113" s="945">
        <v>1.5</v>
      </c>
      <c r="J113" s="945">
        <v>2</v>
      </c>
      <c r="K113" s="946">
        <v>42675</v>
      </c>
      <c r="L113" s="947" t="s">
        <v>310</v>
      </c>
      <c r="O113" s="220"/>
      <c r="P113" s="221" t="s">
        <v>336</v>
      </c>
      <c r="Q113" s="222" t="s">
        <v>337</v>
      </c>
      <c r="R113" s="222" t="s">
        <v>338</v>
      </c>
      <c r="S113" s="925" t="s">
        <v>341</v>
      </c>
      <c r="T113" s="926" t="s">
        <v>334</v>
      </c>
      <c r="U113" s="9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</row>
    <row r="114" spans="1:50" ht="30" customHeight="1" x14ac:dyDescent="0.2">
      <c r="A114" s="940"/>
      <c r="B114" s="941"/>
      <c r="C114" s="915"/>
      <c r="D114" s="921"/>
      <c r="E114" s="921"/>
      <c r="F114" s="203">
        <v>28.1</v>
      </c>
      <c r="G114" s="203">
        <v>0.1</v>
      </c>
      <c r="H114" s="203">
        <v>0.1</v>
      </c>
      <c r="I114" s="921"/>
      <c r="J114" s="921"/>
      <c r="K114" s="921"/>
      <c r="L114" s="932"/>
      <c r="O114" s="895" t="s">
        <v>335</v>
      </c>
      <c r="P114" s="206">
        <f>I113</f>
        <v>1.5</v>
      </c>
      <c r="Q114" s="223">
        <f>I116</f>
        <v>1.6</v>
      </c>
      <c r="R114" s="224">
        <f>I119</f>
        <v>0.21</v>
      </c>
      <c r="S114" s="890"/>
      <c r="T114" s="893"/>
      <c r="U114" s="9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</row>
    <row r="115" spans="1:50" ht="30" customHeight="1" thickBot="1" x14ac:dyDescent="0.25">
      <c r="A115" s="942"/>
      <c r="B115" s="943"/>
      <c r="C115" s="915"/>
      <c r="D115" s="921"/>
      <c r="E115" s="921"/>
      <c r="F115" s="203">
        <v>32.1</v>
      </c>
      <c r="G115" s="203">
        <v>0.1</v>
      </c>
      <c r="H115" s="203">
        <v>0.1</v>
      </c>
      <c r="I115" s="928"/>
      <c r="J115" s="928"/>
      <c r="K115" s="928"/>
      <c r="L115" s="933"/>
      <c r="O115" s="896"/>
      <c r="P115" s="209"/>
      <c r="Q115" s="210"/>
      <c r="R115" s="210"/>
      <c r="S115" s="891"/>
      <c r="T115" s="894"/>
      <c r="U115" s="9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</row>
    <row r="116" spans="1:50" ht="30" customHeight="1" x14ac:dyDescent="0.2">
      <c r="A116" s="897" t="s">
        <v>340</v>
      </c>
      <c r="B116" s="898"/>
      <c r="C116" s="915"/>
      <c r="D116" s="921"/>
      <c r="E116" s="921"/>
      <c r="F116" s="203">
        <v>50.1</v>
      </c>
      <c r="G116" s="225">
        <v>0.1</v>
      </c>
      <c r="H116" s="225">
        <v>0.9</v>
      </c>
      <c r="I116" s="927">
        <v>1.6</v>
      </c>
      <c r="J116" s="929">
        <v>2</v>
      </c>
      <c r="K116" s="930">
        <v>42676</v>
      </c>
      <c r="L116" s="931" t="s">
        <v>311</v>
      </c>
      <c r="O116" s="95"/>
      <c r="P116" s="95"/>
      <c r="Q116" s="95"/>
      <c r="R116" s="95"/>
      <c r="U116" s="9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</row>
    <row r="117" spans="1:50" ht="30" customHeight="1" x14ac:dyDescent="0.2">
      <c r="A117" s="899"/>
      <c r="B117" s="900"/>
      <c r="C117" s="915"/>
      <c r="D117" s="921"/>
      <c r="E117" s="921"/>
      <c r="F117" s="203">
        <v>59.9</v>
      </c>
      <c r="G117" s="225">
        <v>0.1</v>
      </c>
      <c r="H117" s="225">
        <v>0.5</v>
      </c>
      <c r="I117" s="921"/>
      <c r="J117" s="921"/>
      <c r="K117" s="921"/>
      <c r="L117" s="932"/>
      <c r="O117" s="95"/>
      <c r="P117" s="95"/>
      <c r="Q117" s="95"/>
      <c r="R117" s="95"/>
      <c r="U117" s="9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</row>
    <row r="118" spans="1:50" ht="30" customHeight="1" thickBot="1" x14ac:dyDescent="0.25">
      <c r="A118" s="901"/>
      <c r="B118" s="902"/>
      <c r="C118" s="915"/>
      <c r="D118" s="921"/>
      <c r="E118" s="921"/>
      <c r="F118" s="203">
        <v>69.099999999999994</v>
      </c>
      <c r="G118" s="225">
        <v>0.1</v>
      </c>
      <c r="H118" s="225">
        <v>0.1</v>
      </c>
      <c r="I118" s="928"/>
      <c r="J118" s="928"/>
      <c r="K118" s="928"/>
      <c r="L118" s="933"/>
      <c r="O118" s="95"/>
      <c r="P118" s="95"/>
      <c r="Q118" s="95"/>
      <c r="R118" s="95"/>
      <c r="U118" s="95"/>
      <c r="V118" s="9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</row>
    <row r="119" spans="1:50" ht="30" customHeight="1" x14ac:dyDescent="0.2">
      <c r="A119" s="897" t="s">
        <v>346</v>
      </c>
      <c r="B119" s="898"/>
      <c r="C119" s="915"/>
      <c r="D119" s="921"/>
      <c r="E119" s="921"/>
      <c r="F119" s="226">
        <v>499</v>
      </c>
      <c r="G119" s="225">
        <v>0.1</v>
      </c>
      <c r="H119" s="225">
        <v>-1</v>
      </c>
      <c r="I119" s="953">
        <v>0.21</v>
      </c>
      <c r="J119" s="929">
        <v>1.6</v>
      </c>
      <c r="K119" s="930">
        <v>42671</v>
      </c>
      <c r="L119" s="931" t="s">
        <v>312</v>
      </c>
      <c r="O119" s="95"/>
      <c r="P119" s="95"/>
      <c r="Q119" s="95"/>
      <c r="R119" s="95"/>
      <c r="T119" s="227"/>
      <c r="U119" s="95"/>
      <c r="V119" s="9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</row>
    <row r="120" spans="1:50" ht="30" customHeight="1" x14ac:dyDescent="0.2">
      <c r="A120" s="899"/>
      <c r="B120" s="900"/>
      <c r="C120" s="915"/>
      <c r="D120" s="921"/>
      <c r="E120" s="921"/>
      <c r="F120" s="203">
        <v>799.8</v>
      </c>
      <c r="G120" s="225">
        <v>0.1</v>
      </c>
      <c r="H120" s="225">
        <v>-0.4</v>
      </c>
      <c r="I120" s="921"/>
      <c r="J120" s="921"/>
      <c r="K120" s="921"/>
      <c r="L120" s="932"/>
      <c r="O120" s="95"/>
      <c r="P120" s="95"/>
      <c r="Q120" s="95"/>
      <c r="R120" s="95"/>
      <c r="T120" s="173"/>
      <c r="U120" s="95"/>
      <c r="V120" s="95"/>
    </row>
    <row r="121" spans="1:50" ht="30" customHeight="1" thickBot="1" x14ac:dyDescent="0.25">
      <c r="A121" s="901"/>
      <c r="B121" s="902"/>
      <c r="C121" s="916"/>
      <c r="D121" s="922"/>
      <c r="E121" s="922"/>
      <c r="F121" s="213">
        <v>1099.8</v>
      </c>
      <c r="G121" s="228">
        <v>0.1</v>
      </c>
      <c r="H121" s="228">
        <v>-0.4</v>
      </c>
      <c r="I121" s="922"/>
      <c r="J121" s="922"/>
      <c r="K121" s="922"/>
      <c r="L121" s="954"/>
      <c r="O121" s="95"/>
      <c r="P121" s="95"/>
      <c r="Q121" s="95"/>
      <c r="R121" s="95"/>
      <c r="T121" s="173"/>
      <c r="U121" s="95"/>
      <c r="V121" s="95"/>
    </row>
    <row r="122" spans="1:50" ht="30" customHeight="1" thickBot="1" x14ac:dyDescent="0.25">
      <c r="A122" s="229"/>
      <c r="B122" s="230"/>
      <c r="C122" s="147"/>
      <c r="D122" s="231"/>
      <c r="E122" s="232"/>
      <c r="F122" s="147"/>
      <c r="G122" s="147"/>
      <c r="H122" s="147"/>
      <c r="I122" s="147"/>
      <c r="J122" s="147"/>
      <c r="K122" s="233"/>
      <c r="L122" s="234"/>
      <c r="O122" s="95"/>
      <c r="P122" s="95"/>
      <c r="Q122" s="95"/>
      <c r="R122" s="95"/>
      <c r="T122" s="173"/>
      <c r="U122" s="95"/>
      <c r="V122" s="95"/>
    </row>
    <row r="123" spans="1:50" ht="30" customHeight="1" thickBot="1" x14ac:dyDescent="0.25">
      <c r="A123" s="235"/>
      <c r="B123" s="194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O123" s="95"/>
      <c r="P123" s="95"/>
      <c r="Q123" s="95"/>
      <c r="R123" s="95"/>
      <c r="T123" s="173"/>
      <c r="U123" s="95"/>
      <c r="V123" s="95"/>
    </row>
    <row r="124" spans="1:50" ht="30" customHeight="1" x14ac:dyDescent="0.2">
      <c r="A124" s="908" t="s">
        <v>339</v>
      </c>
      <c r="B124" s="955"/>
      <c r="C124" s="914" t="s">
        <v>348</v>
      </c>
      <c r="D124" s="960" t="s">
        <v>271</v>
      </c>
      <c r="E124" s="920">
        <v>19406160802033</v>
      </c>
      <c r="F124" s="199">
        <v>16</v>
      </c>
      <c r="G124" s="198">
        <v>0.1</v>
      </c>
      <c r="H124" s="198">
        <v>-0.1</v>
      </c>
      <c r="I124" s="948">
        <v>1.5</v>
      </c>
      <c r="J124" s="948">
        <v>2</v>
      </c>
      <c r="K124" s="950">
        <v>42674</v>
      </c>
      <c r="L124" s="951" t="s">
        <v>308</v>
      </c>
      <c r="O124" s="220"/>
      <c r="P124" s="221" t="s">
        <v>336</v>
      </c>
      <c r="Q124" s="222" t="s">
        <v>337</v>
      </c>
      <c r="R124" s="222" t="s">
        <v>338</v>
      </c>
      <c r="S124" s="925" t="s">
        <v>349</v>
      </c>
      <c r="T124" s="926" t="s">
        <v>350</v>
      </c>
      <c r="U124" s="95"/>
      <c r="V124" s="95"/>
    </row>
    <row r="125" spans="1:50" ht="30" customHeight="1" x14ac:dyDescent="0.2">
      <c r="A125" s="956"/>
      <c r="B125" s="957"/>
      <c r="C125" s="915"/>
      <c r="D125" s="961"/>
      <c r="E125" s="921"/>
      <c r="F125" s="203">
        <v>20.100000000000001</v>
      </c>
      <c r="G125" s="203">
        <v>0.1</v>
      </c>
      <c r="H125" s="203">
        <v>-0.1</v>
      </c>
      <c r="I125" s="949"/>
      <c r="J125" s="949"/>
      <c r="K125" s="949"/>
      <c r="L125" s="952" t="s">
        <v>307</v>
      </c>
      <c r="O125" s="895" t="s">
        <v>363</v>
      </c>
      <c r="P125" s="206">
        <f>I124</f>
        <v>1.5</v>
      </c>
      <c r="Q125" s="207">
        <f>I127</f>
        <v>1.6</v>
      </c>
      <c r="R125" s="207">
        <f>I130</f>
        <v>0.21</v>
      </c>
      <c r="S125" s="890"/>
      <c r="T125" s="893"/>
      <c r="U125" s="95"/>
      <c r="V125" s="95"/>
    </row>
    <row r="126" spans="1:50" ht="30" customHeight="1" thickBot="1" x14ac:dyDescent="0.25">
      <c r="A126" s="958"/>
      <c r="B126" s="959"/>
      <c r="C126" s="915"/>
      <c r="D126" s="961"/>
      <c r="E126" s="921"/>
      <c r="F126" s="203">
        <v>24.4</v>
      </c>
      <c r="G126" s="204">
        <v>0.1</v>
      </c>
      <c r="H126" s="203">
        <v>0.1</v>
      </c>
      <c r="I126" s="949"/>
      <c r="J126" s="949"/>
      <c r="K126" s="949"/>
      <c r="L126" s="952"/>
      <c r="O126" s="896"/>
      <c r="P126" s="209"/>
      <c r="Q126" s="210"/>
      <c r="R126" s="210"/>
      <c r="S126" s="891"/>
      <c r="T126" s="894"/>
      <c r="U126" s="95"/>
      <c r="V126" s="95"/>
    </row>
    <row r="127" spans="1:50" ht="30" customHeight="1" x14ac:dyDescent="0.2">
      <c r="A127" s="897" t="s">
        <v>340</v>
      </c>
      <c r="B127" s="963"/>
      <c r="C127" s="915"/>
      <c r="D127" s="961"/>
      <c r="E127" s="921"/>
      <c r="F127" s="203">
        <v>39.5</v>
      </c>
      <c r="G127" s="203">
        <v>0.1</v>
      </c>
      <c r="H127" s="203">
        <v>0.79</v>
      </c>
      <c r="I127" s="966">
        <v>1.6</v>
      </c>
      <c r="J127" s="966">
        <v>2</v>
      </c>
      <c r="K127" s="950">
        <v>42674</v>
      </c>
      <c r="L127" s="967" t="s">
        <v>307</v>
      </c>
      <c r="O127" s="95"/>
      <c r="P127" s="95"/>
      <c r="Q127" s="95"/>
      <c r="R127" s="95"/>
      <c r="T127" s="173"/>
      <c r="U127" s="95"/>
      <c r="V127" s="95"/>
    </row>
    <row r="128" spans="1:50" ht="30" customHeight="1" x14ac:dyDescent="0.2">
      <c r="A128" s="899"/>
      <c r="B128" s="964"/>
      <c r="C128" s="915"/>
      <c r="D128" s="961"/>
      <c r="E128" s="921"/>
      <c r="F128" s="203">
        <v>49.8</v>
      </c>
      <c r="G128" s="203">
        <v>0.1</v>
      </c>
      <c r="H128" s="203">
        <v>0.63</v>
      </c>
      <c r="I128" s="949">
        <v>1.6</v>
      </c>
      <c r="J128" s="949">
        <v>2</v>
      </c>
      <c r="K128" s="949"/>
      <c r="L128" s="952" t="s">
        <v>308</v>
      </c>
      <c r="O128" s="95"/>
      <c r="P128" s="95"/>
      <c r="Q128" s="95"/>
      <c r="R128" s="95"/>
      <c r="T128" s="173"/>
      <c r="U128" s="95"/>
      <c r="V128" s="95"/>
    </row>
    <row r="129" spans="1:22" ht="30" customHeight="1" thickBot="1" x14ac:dyDescent="0.25">
      <c r="A129" s="901"/>
      <c r="B129" s="965"/>
      <c r="C129" s="915"/>
      <c r="D129" s="961"/>
      <c r="E129" s="921"/>
      <c r="F129" s="203">
        <v>59.3</v>
      </c>
      <c r="G129" s="203">
        <v>0.1</v>
      </c>
      <c r="H129" s="203">
        <v>-0.13</v>
      </c>
      <c r="I129" s="949"/>
      <c r="J129" s="949"/>
      <c r="K129" s="949"/>
      <c r="L129" s="952"/>
      <c r="O129" s="95"/>
      <c r="P129" s="95"/>
      <c r="Q129" s="95"/>
      <c r="R129" s="95"/>
      <c r="T129" s="173"/>
      <c r="U129" s="95"/>
      <c r="V129" s="95"/>
    </row>
    <row r="130" spans="1:22" ht="30" customHeight="1" x14ac:dyDescent="0.2">
      <c r="A130" s="897" t="s">
        <v>346</v>
      </c>
      <c r="B130" s="963"/>
      <c r="C130" s="915"/>
      <c r="D130" s="961"/>
      <c r="E130" s="921"/>
      <c r="F130" s="226">
        <v>499</v>
      </c>
      <c r="G130" s="203">
        <v>0.1</v>
      </c>
      <c r="H130" s="226">
        <v>-1</v>
      </c>
      <c r="I130" s="966">
        <v>0.21</v>
      </c>
      <c r="J130" s="966">
        <v>2</v>
      </c>
      <c r="K130" s="969">
        <v>42671</v>
      </c>
      <c r="L130" s="967" t="s">
        <v>309</v>
      </c>
      <c r="O130" s="95"/>
      <c r="P130" s="95"/>
      <c r="Q130" s="95"/>
      <c r="R130" s="95"/>
      <c r="T130" s="173"/>
      <c r="U130" s="95"/>
      <c r="V130" s="95"/>
    </row>
    <row r="131" spans="1:22" ht="30" customHeight="1" x14ac:dyDescent="0.2">
      <c r="A131" s="899"/>
      <c r="B131" s="964"/>
      <c r="C131" s="915"/>
      <c r="D131" s="961"/>
      <c r="E131" s="921"/>
      <c r="F131" s="203">
        <v>799.8</v>
      </c>
      <c r="G131" s="203">
        <v>0.1</v>
      </c>
      <c r="H131" s="226">
        <v>-0.4</v>
      </c>
      <c r="I131" s="949">
        <v>0.17</v>
      </c>
      <c r="J131" s="949">
        <v>2</v>
      </c>
      <c r="K131" s="949">
        <v>42671</v>
      </c>
      <c r="L131" s="952" t="s">
        <v>309</v>
      </c>
      <c r="O131" s="95"/>
      <c r="P131" s="95"/>
      <c r="Q131" s="95"/>
      <c r="R131" s="95"/>
      <c r="T131" s="173"/>
      <c r="U131" s="95"/>
      <c r="V131" s="95"/>
    </row>
    <row r="132" spans="1:22" ht="30" customHeight="1" thickBot="1" x14ac:dyDescent="0.25">
      <c r="A132" s="901"/>
      <c r="B132" s="965"/>
      <c r="C132" s="916"/>
      <c r="D132" s="962"/>
      <c r="E132" s="922"/>
      <c r="F132" s="213">
        <v>1099.9000000000001</v>
      </c>
      <c r="G132" s="213">
        <v>0.1</v>
      </c>
      <c r="H132" s="212">
        <v>-0.3</v>
      </c>
      <c r="I132" s="968"/>
      <c r="J132" s="968"/>
      <c r="K132" s="968"/>
      <c r="L132" s="970"/>
      <c r="O132" s="95"/>
      <c r="P132" s="95"/>
      <c r="Q132" s="95"/>
      <c r="R132" s="95"/>
      <c r="T132" s="173"/>
      <c r="U132" s="95"/>
      <c r="V132" s="95"/>
    </row>
    <row r="133" spans="1:22" ht="30" customHeight="1" thickBot="1" x14ac:dyDescent="0.25">
      <c r="A133" s="190"/>
      <c r="B133" s="193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O133" s="95"/>
      <c r="P133" s="95"/>
      <c r="Q133" s="95"/>
      <c r="R133" s="95"/>
      <c r="T133" s="173"/>
      <c r="U133" s="95"/>
      <c r="V133" s="95"/>
    </row>
    <row r="134" spans="1:22" ht="30" customHeight="1" x14ac:dyDescent="0.2">
      <c r="A134" s="973" t="s">
        <v>339</v>
      </c>
      <c r="B134" s="960"/>
      <c r="C134" s="945" t="s">
        <v>351</v>
      </c>
      <c r="D134" s="960" t="s">
        <v>271</v>
      </c>
      <c r="E134" s="920" t="s">
        <v>303</v>
      </c>
      <c r="F134" s="198">
        <v>18.100000000000001</v>
      </c>
      <c r="G134" s="203">
        <v>0.1</v>
      </c>
      <c r="H134" s="199">
        <v>0</v>
      </c>
      <c r="I134" s="975">
        <v>0.2</v>
      </c>
      <c r="J134" s="948">
        <v>1.96</v>
      </c>
      <c r="K134" s="950">
        <v>42580</v>
      </c>
      <c r="L134" s="951" t="s">
        <v>352</v>
      </c>
      <c r="O134" s="220"/>
      <c r="P134" s="221" t="s">
        <v>336</v>
      </c>
      <c r="Q134" s="222" t="s">
        <v>337</v>
      </c>
      <c r="R134" s="222" t="s">
        <v>338</v>
      </c>
      <c r="S134" s="925" t="s">
        <v>344</v>
      </c>
      <c r="T134" s="926" t="s">
        <v>353</v>
      </c>
      <c r="U134" s="95"/>
      <c r="V134" s="95"/>
    </row>
    <row r="135" spans="1:22" ht="30" customHeight="1" x14ac:dyDescent="0.2">
      <c r="A135" s="974"/>
      <c r="B135" s="961"/>
      <c r="C135" s="921"/>
      <c r="D135" s="961"/>
      <c r="E135" s="921"/>
      <c r="F135" s="203">
        <v>20.100000000000001</v>
      </c>
      <c r="G135" s="203">
        <v>0.1</v>
      </c>
      <c r="H135" s="226">
        <v>0</v>
      </c>
      <c r="I135" s="976"/>
      <c r="J135" s="949"/>
      <c r="K135" s="949"/>
      <c r="L135" s="952"/>
      <c r="O135" s="895" t="s">
        <v>331</v>
      </c>
      <c r="P135" s="236">
        <f>I134</f>
        <v>0.2</v>
      </c>
      <c r="Q135" s="207">
        <f>I137</f>
        <v>1.7</v>
      </c>
      <c r="R135" s="207">
        <f>I140</f>
        <v>6.4000000000000001E-2</v>
      </c>
      <c r="S135" s="890"/>
      <c r="T135" s="893"/>
      <c r="U135" s="95"/>
      <c r="V135" s="95"/>
    </row>
    <row r="136" spans="1:22" ht="30" customHeight="1" thickBot="1" x14ac:dyDescent="0.25">
      <c r="A136" s="974"/>
      <c r="B136" s="961"/>
      <c r="C136" s="921"/>
      <c r="D136" s="961"/>
      <c r="E136" s="921"/>
      <c r="F136" s="226">
        <v>22</v>
      </c>
      <c r="G136" s="203">
        <v>0.1</v>
      </c>
      <c r="H136" s="226">
        <v>0</v>
      </c>
      <c r="I136" s="976">
        <v>0.2</v>
      </c>
      <c r="J136" s="949">
        <v>1.96</v>
      </c>
      <c r="K136" s="949">
        <v>42580</v>
      </c>
      <c r="L136" s="952" t="s">
        <v>304</v>
      </c>
      <c r="O136" s="896"/>
      <c r="P136" s="209"/>
      <c r="Q136" s="210"/>
      <c r="R136" s="210"/>
      <c r="S136" s="891"/>
      <c r="T136" s="894"/>
      <c r="U136" s="95"/>
      <c r="V136" s="95"/>
    </row>
    <row r="137" spans="1:22" ht="30" customHeight="1" x14ac:dyDescent="0.2">
      <c r="A137" s="971" t="s">
        <v>340</v>
      </c>
      <c r="B137" s="972"/>
      <c r="C137" s="921"/>
      <c r="D137" s="961"/>
      <c r="E137" s="921"/>
      <c r="F137" s="203">
        <v>41.8</v>
      </c>
      <c r="G137" s="203">
        <v>0.1</v>
      </c>
      <c r="H137" s="203">
        <v>-1.8</v>
      </c>
      <c r="I137" s="966">
        <v>1.7</v>
      </c>
      <c r="J137" s="966">
        <v>1.96</v>
      </c>
      <c r="K137" s="969">
        <v>42586</v>
      </c>
      <c r="L137" s="967" t="s">
        <v>354</v>
      </c>
      <c r="O137" s="95"/>
      <c r="P137" s="95"/>
      <c r="Q137" s="95"/>
      <c r="R137" s="95"/>
      <c r="T137" s="173"/>
      <c r="U137" s="95"/>
      <c r="V137" s="95"/>
    </row>
    <row r="138" spans="1:22" ht="30" customHeight="1" x14ac:dyDescent="0.2">
      <c r="A138" s="971"/>
      <c r="B138" s="972"/>
      <c r="C138" s="921"/>
      <c r="D138" s="961"/>
      <c r="E138" s="921"/>
      <c r="F138" s="203">
        <v>50.6</v>
      </c>
      <c r="G138" s="203">
        <v>0.1</v>
      </c>
      <c r="H138" s="203">
        <v>-0.6</v>
      </c>
      <c r="I138" s="949">
        <v>1.7</v>
      </c>
      <c r="J138" s="949">
        <v>1.96</v>
      </c>
      <c r="K138" s="949">
        <v>42586</v>
      </c>
      <c r="L138" s="952" t="s">
        <v>305</v>
      </c>
      <c r="O138" s="95"/>
      <c r="P138" s="95"/>
      <c r="Q138" s="95"/>
      <c r="R138" s="95"/>
      <c r="T138" s="173"/>
      <c r="U138" s="95"/>
      <c r="V138" s="95"/>
    </row>
    <row r="139" spans="1:22" ht="30" customHeight="1" x14ac:dyDescent="0.2">
      <c r="A139" s="971"/>
      <c r="B139" s="972"/>
      <c r="C139" s="921"/>
      <c r="D139" s="961"/>
      <c r="E139" s="921"/>
      <c r="F139" s="203">
        <v>59.4</v>
      </c>
      <c r="G139" s="203">
        <v>0.1</v>
      </c>
      <c r="H139" s="203">
        <v>0.6</v>
      </c>
      <c r="I139" s="949"/>
      <c r="J139" s="949"/>
      <c r="K139" s="949"/>
      <c r="L139" s="952"/>
      <c r="O139" s="95"/>
      <c r="P139" s="95"/>
      <c r="Q139" s="95"/>
      <c r="R139" s="95"/>
      <c r="T139" s="173"/>
      <c r="U139" s="95"/>
      <c r="V139" s="95"/>
    </row>
    <row r="140" spans="1:22" ht="30" customHeight="1" x14ac:dyDescent="0.2">
      <c r="A140" s="971" t="s">
        <v>346</v>
      </c>
      <c r="B140" s="972"/>
      <c r="C140" s="921"/>
      <c r="D140" s="961"/>
      <c r="E140" s="921"/>
      <c r="F140" s="203">
        <v>397.9</v>
      </c>
      <c r="G140" s="203">
        <v>0.1</v>
      </c>
      <c r="H140" s="203">
        <v>-1.3</v>
      </c>
      <c r="I140" s="966">
        <v>6.4000000000000001E-2</v>
      </c>
      <c r="J140" s="979">
        <v>2</v>
      </c>
      <c r="K140" s="969">
        <v>42625</v>
      </c>
      <c r="L140" s="967" t="s">
        <v>355</v>
      </c>
      <c r="O140" s="95"/>
      <c r="P140" s="95"/>
      <c r="Q140" s="95"/>
      <c r="R140" s="95"/>
      <c r="T140" s="96"/>
    </row>
    <row r="141" spans="1:22" ht="30" customHeight="1" x14ac:dyDescent="0.2">
      <c r="A141" s="971"/>
      <c r="B141" s="972"/>
      <c r="C141" s="921"/>
      <c r="D141" s="961"/>
      <c r="E141" s="921"/>
      <c r="F141" s="203">
        <v>753.2</v>
      </c>
      <c r="G141" s="203">
        <v>0.1</v>
      </c>
      <c r="H141" s="237">
        <v>-0.64100000000000001</v>
      </c>
      <c r="I141" s="949">
        <v>6.4000000000000001E-2</v>
      </c>
      <c r="J141" s="980">
        <v>2</v>
      </c>
      <c r="K141" s="949">
        <v>42625</v>
      </c>
      <c r="L141" s="952" t="s">
        <v>306</v>
      </c>
      <c r="O141" s="95"/>
      <c r="P141" s="95"/>
      <c r="Q141" s="95"/>
      <c r="R141" s="95"/>
      <c r="T141" s="96"/>
    </row>
    <row r="142" spans="1:22" ht="30" customHeight="1" thickBot="1" x14ac:dyDescent="0.25">
      <c r="A142" s="977"/>
      <c r="B142" s="978"/>
      <c r="C142" s="922"/>
      <c r="D142" s="962"/>
      <c r="E142" s="922"/>
      <c r="F142" s="213">
        <v>1099.3</v>
      </c>
      <c r="G142" s="203">
        <v>0.1</v>
      </c>
      <c r="H142" s="213">
        <v>-0.06</v>
      </c>
      <c r="I142" s="968"/>
      <c r="J142" s="981"/>
      <c r="K142" s="968"/>
      <c r="L142" s="970"/>
      <c r="O142" s="95"/>
      <c r="P142" s="95"/>
      <c r="Q142" s="95"/>
      <c r="R142" s="95"/>
      <c r="T142" s="96"/>
    </row>
    <row r="143" spans="1:22" ht="30" customHeight="1" thickBot="1" x14ac:dyDescent="0.25">
      <c r="A143" s="238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O143" s="95"/>
      <c r="P143" s="95"/>
      <c r="Q143" s="95"/>
      <c r="R143" s="95"/>
      <c r="T143" s="96"/>
    </row>
    <row r="144" spans="1:22" ht="30" customHeight="1" x14ac:dyDescent="0.2">
      <c r="A144" s="973" t="s">
        <v>339</v>
      </c>
      <c r="B144" s="960"/>
      <c r="C144" s="945" t="s">
        <v>356</v>
      </c>
      <c r="D144" s="960" t="s">
        <v>271</v>
      </c>
      <c r="E144" s="982" t="s">
        <v>299</v>
      </c>
      <c r="F144" s="198">
        <v>18.2</v>
      </c>
      <c r="G144" s="198">
        <v>0.1</v>
      </c>
      <c r="H144" s="198">
        <v>0</v>
      </c>
      <c r="I144" s="975">
        <v>0.2</v>
      </c>
      <c r="J144" s="948">
        <v>1.96</v>
      </c>
      <c r="K144" s="950">
        <v>42586</v>
      </c>
      <c r="L144" s="951" t="s">
        <v>357</v>
      </c>
      <c r="O144" s="220"/>
      <c r="P144" s="221" t="s">
        <v>336</v>
      </c>
      <c r="Q144" s="222" t="s">
        <v>337</v>
      </c>
      <c r="R144" s="222" t="s">
        <v>338</v>
      </c>
      <c r="S144" s="925" t="s">
        <v>358</v>
      </c>
      <c r="T144" s="926" t="s">
        <v>359</v>
      </c>
    </row>
    <row r="145" spans="1:20" ht="30" customHeight="1" x14ac:dyDescent="0.2">
      <c r="A145" s="974"/>
      <c r="B145" s="961"/>
      <c r="C145" s="921"/>
      <c r="D145" s="961"/>
      <c r="E145" s="921"/>
      <c r="F145" s="226">
        <v>20</v>
      </c>
      <c r="G145" s="203">
        <v>0.1</v>
      </c>
      <c r="H145" s="203">
        <v>0.1</v>
      </c>
      <c r="I145" s="976"/>
      <c r="J145" s="949"/>
      <c r="K145" s="949">
        <v>42586</v>
      </c>
      <c r="L145" s="952" t="s">
        <v>301</v>
      </c>
      <c r="O145" s="895" t="s">
        <v>364</v>
      </c>
      <c r="P145" s="236">
        <f>I144</f>
        <v>0.2</v>
      </c>
      <c r="Q145" s="207">
        <f>I147</f>
        <v>1.7</v>
      </c>
      <c r="R145" s="207">
        <f>I150</f>
        <v>6.4000000000000001E-2</v>
      </c>
      <c r="S145" s="890"/>
      <c r="T145" s="893"/>
    </row>
    <row r="146" spans="1:20" ht="30" customHeight="1" thickBot="1" x14ac:dyDescent="0.25">
      <c r="A146" s="974"/>
      <c r="B146" s="961"/>
      <c r="C146" s="921"/>
      <c r="D146" s="961"/>
      <c r="E146" s="921"/>
      <c r="F146" s="226">
        <v>22</v>
      </c>
      <c r="G146" s="203">
        <v>0.1</v>
      </c>
      <c r="H146" s="226">
        <v>0</v>
      </c>
      <c r="I146" s="976"/>
      <c r="J146" s="949"/>
      <c r="K146" s="949">
        <v>42625</v>
      </c>
      <c r="L146" s="952" t="s">
        <v>302</v>
      </c>
      <c r="O146" s="896"/>
      <c r="P146" s="209"/>
      <c r="Q146" s="210"/>
      <c r="R146" s="210"/>
      <c r="S146" s="891"/>
      <c r="T146" s="894"/>
    </row>
    <row r="147" spans="1:20" ht="30" customHeight="1" x14ac:dyDescent="0.2">
      <c r="A147" s="971" t="s">
        <v>340</v>
      </c>
      <c r="B147" s="972"/>
      <c r="C147" s="921"/>
      <c r="D147" s="961"/>
      <c r="E147" s="921"/>
      <c r="F147" s="203">
        <v>41.8</v>
      </c>
      <c r="G147" s="203">
        <v>0.1</v>
      </c>
      <c r="H147" s="203">
        <v>-1.8</v>
      </c>
      <c r="I147" s="966">
        <v>1.7</v>
      </c>
      <c r="J147" s="966">
        <v>1.96</v>
      </c>
      <c r="K147" s="969">
        <v>42586</v>
      </c>
      <c r="L147" s="967" t="s">
        <v>360</v>
      </c>
      <c r="O147" s="95"/>
      <c r="P147" s="95"/>
      <c r="Q147" s="95"/>
      <c r="R147" s="95"/>
      <c r="T147" s="96"/>
    </row>
    <row r="148" spans="1:20" ht="30" customHeight="1" x14ac:dyDescent="0.2">
      <c r="A148" s="971"/>
      <c r="B148" s="972"/>
      <c r="C148" s="921"/>
      <c r="D148" s="961"/>
      <c r="E148" s="921"/>
      <c r="F148" s="203">
        <v>50.5</v>
      </c>
      <c r="G148" s="203">
        <v>0.1</v>
      </c>
      <c r="H148" s="203">
        <v>-0.5</v>
      </c>
      <c r="I148" s="949"/>
      <c r="J148" s="949"/>
      <c r="K148" s="949">
        <v>42586</v>
      </c>
      <c r="L148" s="952" t="s">
        <v>301</v>
      </c>
      <c r="O148" s="95"/>
      <c r="P148" s="95"/>
      <c r="Q148" s="95"/>
      <c r="R148" s="95"/>
      <c r="T148" s="96"/>
    </row>
    <row r="149" spans="1:20" ht="30" customHeight="1" x14ac:dyDescent="0.2">
      <c r="A149" s="971"/>
      <c r="B149" s="972"/>
      <c r="C149" s="921"/>
      <c r="D149" s="961"/>
      <c r="E149" s="921"/>
      <c r="F149" s="203">
        <v>59.3</v>
      </c>
      <c r="G149" s="203">
        <v>0.1</v>
      </c>
      <c r="H149" s="203">
        <v>0.7</v>
      </c>
      <c r="I149" s="949"/>
      <c r="J149" s="949"/>
      <c r="K149" s="949">
        <v>42625</v>
      </c>
      <c r="L149" s="952" t="s">
        <v>302</v>
      </c>
      <c r="O149" s="95"/>
      <c r="P149" s="95"/>
      <c r="Q149" s="95"/>
      <c r="R149" s="95"/>
      <c r="T149" s="96"/>
    </row>
    <row r="150" spans="1:20" ht="30" customHeight="1" x14ac:dyDescent="0.2">
      <c r="A150" s="971" t="s">
        <v>346</v>
      </c>
      <c r="B150" s="972"/>
      <c r="C150" s="921"/>
      <c r="D150" s="961"/>
      <c r="E150" s="921"/>
      <c r="F150" s="226">
        <v>397.9</v>
      </c>
      <c r="G150" s="203">
        <v>0.1</v>
      </c>
      <c r="H150" s="203">
        <v>-1.34</v>
      </c>
      <c r="I150" s="966">
        <v>6.4000000000000001E-2</v>
      </c>
      <c r="J150" s="979">
        <v>1.96</v>
      </c>
      <c r="K150" s="969">
        <v>42625</v>
      </c>
      <c r="L150" s="967" t="s">
        <v>361</v>
      </c>
      <c r="O150" s="96"/>
      <c r="T150" s="96"/>
    </row>
    <row r="151" spans="1:20" ht="30" customHeight="1" x14ac:dyDescent="0.2">
      <c r="A151" s="971"/>
      <c r="B151" s="972"/>
      <c r="C151" s="921"/>
      <c r="D151" s="961"/>
      <c r="E151" s="921"/>
      <c r="F151" s="203">
        <v>753.2</v>
      </c>
      <c r="G151" s="203">
        <v>0.1</v>
      </c>
      <c r="H151" s="237">
        <v>-0.64100000000000001</v>
      </c>
      <c r="I151" s="949">
        <v>1.7</v>
      </c>
      <c r="J151" s="980">
        <v>1.96</v>
      </c>
      <c r="K151" s="949">
        <v>42586</v>
      </c>
      <c r="L151" s="952" t="s">
        <v>301</v>
      </c>
      <c r="O151" s="96"/>
      <c r="T151" s="96"/>
    </row>
    <row r="152" spans="1:20" ht="30" customHeight="1" thickBot="1" x14ac:dyDescent="0.25">
      <c r="A152" s="977"/>
      <c r="B152" s="978"/>
      <c r="C152" s="922"/>
      <c r="D152" s="962"/>
      <c r="E152" s="922"/>
      <c r="F152" s="213">
        <v>1099.2</v>
      </c>
      <c r="G152" s="213">
        <v>0.1</v>
      </c>
      <c r="H152" s="213">
        <v>-0.54</v>
      </c>
      <c r="I152" s="968">
        <v>6.4000000000000001E-2</v>
      </c>
      <c r="J152" s="981">
        <v>2</v>
      </c>
      <c r="K152" s="968">
        <v>42625</v>
      </c>
      <c r="L152" s="970" t="s">
        <v>302</v>
      </c>
      <c r="O152" s="96"/>
      <c r="T152" s="96"/>
    </row>
    <row r="153" spans="1:20" ht="30" customHeight="1" x14ac:dyDescent="0.2"/>
    <row r="154" spans="1:20" ht="30" customHeight="1" thickBot="1" x14ac:dyDescent="0.25"/>
    <row r="155" spans="1:20" ht="30" customHeight="1" thickBot="1" x14ac:dyDescent="0.25">
      <c r="D155" s="986" t="s">
        <v>248</v>
      </c>
      <c r="E155" s="987"/>
      <c r="F155" s="987"/>
      <c r="G155" s="987"/>
      <c r="H155" s="988"/>
      <c r="J155" s="992" t="s">
        <v>282</v>
      </c>
      <c r="K155" s="993"/>
      <c r="L155" s="993"/>
      <c r="M155" s="993"/>
    </row>
    <row r="156" spans="1:20" ht="30" customHeight="1" thickBot="1" x14ac:dyDescent="0.25">
      <c r="D156" s="989"/>
      <c r="E156" s="990"/>
      <c r="F156" s="990"/>
      <c r="G156" s="990"/>
      <c r="H156" s="991"/>
      <c r="J156" s="994" t="s">
        <v>205</v>
      </c>
      <c r="K156" s="995"/>
      <c r="L156" s="995"/>
      <c r="M156" s="996"/>
    </row>
    <row r="157" spans="1:20" ht="30" customHeight="1" x14ac:dyDescent="0.2">
      <c r="D157" s="239" t="s">
        <v>151</v>
      </c>
      <c r="E157" s="983" t="s">
        <v>249</v>
      </c>
      <c r="F157" s="984"/>
      <c r="G157" s="984"/>
      <c r="H157" s="985"/>
      <c r="J157" s="240">
        <v>5</v>
      </c>
      <c r="K157" s="241" t="s">
        <v>207</v>
      </c>
      <c r="L157" s="242">
        <v>8200</v>
      </c>
      <c r="M157" s="131"/>
    </row>
    <row r="158" spans="1:20" ht="30" customHeight="1" thickBot="1" x14ac:dyDescent="0.25">
      <c r="D158" s="243"/>
      <c r="E158" s="244"/>
      <c r="F158" s="245"/>
      <c r="G158" s="245"/>
      <c r="H158" s="246"/>
      <c r="J158" s="240"/>
      <c r="K158" s="247"/>
      <c r="L158" s="247"/>
      <c r="M158" s="248"/>
    </row>
    <row r="159" spans="1:20" ht="30" customHeight="1" x14ac:dyDescent="0.2">
      <c r="D159" s="249" t="s">
        <v>250</v>
      </c>
      <c r="E159" s="250" t="s">
        <v>251</v>
      </c>
      <c r="F159" s="251"/>
      <c r="G159" s="251" t="s">
        <v>252</v>
      </c>
      <c r="H159" s="252"/>
      <c r="J159" s="240"/>
      <c r="K159" s="247"/>
      <c r="L159" s="247"/>
      <c r="M159" s="248"/>
    </row>
    <row r="160" spans="1:20" ht="30" customHeight="1" x14ac:dyDescent="0.2">
      <c r="B160" s="95" t="e">
        <f>IF(#REF!&lt;=('DATOS 1'!I151),"")</f>
        <v>#REF!</v>
      </c>
      <c r="D160" s="249" t="s">
        <v>253</v>
      </c>
      <c r="E160" s="250" t="s">
        <v>254</v>
      </c>
      <c r="F160" s="251"/>
      <c r="G160" s="251" t="s">
        <v>255</v>
      </c>
      <c r="H160" s="252"/>
      <c r="J160" s="240"/>
      <c r="K160" s="253"/>
      <c r="L160" s="247"/>
      <c r="M160" s="248"/>
    </row>
    <row r="161" spans="4:13" ht="30" customHeight="1" x14ac:dyDescent="0.2">
      <c r="D161" s="249" t="s">
        <v>256</v>
      </c>
      <c r="E161" s="250" t="s">
        <v>257</v>
      </c>
      <c r="F161" s="251"/>
      <c r="G161" s="251" t="s">
        <v>258</v>
      </c>
      <c r="H161" s="252"/>
      <c r="J161" s="240"/>
      <c r="K161" s="254"/>
      <c r="L161" s="255"/>
      <c r="M161" s="256"/>
    </row>
    <row r="162" spans="4:13" ht="30" customHeight="1" thickBot="1" x14ac:dyDescent="0.25">
      <c r="D162" s="257" t="s">
        <v>259</v>
      </c>
      <c r="E162" s="258" t="s">
        <v>260</v>
      </c>
      <c r="F162" s="259"/>
      <c r="G162" s="260" t="s">
        <v>261</v>
      </c>
      <c r="H162" s="261"/>
      <c r="J162" s="240"/>
      <c r="K162" s="254"/>
      <c r="L162" s="254"/>
      <c r="M162" s="256"/>
    </row>
    <row r="163" spans="4:13" ht="30" customHeight="1" thickBot="1" x14ac:dyDescent="0.25">
      <c r="J163" s="262"/>
      <c r="K163" s="263"/>
      <c r="L163" s="264"/>
      <c r="M163" s="265"/>
    </row>
    <row r="164" spans="4:13" ht="30" customHeight="1" x14ac:dyDescent="0.2"/>
    <row r="165" spans="4:13" ht="30" customHeight="1" x14ac:dyDescent="0.2"/>
    <row r="199" spans="64:67" ht="35.1" customHeight="1" x14ac:dyDescent="0.25">
      <c r="BL199" s="266"/>
      <c r="BM199" s="266"/>
      <c r="BN199" s="266"/>
      <c r="BO199" s="266"/>
    </row>
    <row r="200" spans="64:67" ht="35.1" customHeight="1" x14ac:dyDescent="0.25">
      <c r="BL200" s="266"/>
      <c r="BM200" s="266"/>
      <c r="BN200" s="266"/>
      <c r="BO200" s="266"/>
    </row>
    <row r="201" spans="64:67" ht="35.1" customHeight="1" x14ac:dyDescent="0.25">
      <c r="BL201" s="266"/>
      <c r="BM201" s="266"/>
      <c r="BN201" s="266"/>
      <c r="BO201" s="266"/>
    </row>
    <row r="202" spans="64:67" ht="35.1" customHeight="1" x14ac:dyDescent="0.25">
      <c r="BL202" s="266"/>
      <c r="BM202" s="266"/>
      <c r="BN202" s="266"/>
      <c r="BO202" s="266"/>
    </row>
  </sheetData>
  <sheetProtection algorithmName="SHA-512" hashValue="gHqk8EcakJ+uTk0J1FiFuVgDf66Vh+8Y5GMXhHeOls24o7NRTz5+G32cb4zdwSCmQgEkqbDXbL3sGxThga+Zig==" saltValue="icYVeXTGG7yABhIcgVEWqA==" spinCount="100000" sheet="1" objects="1" scenarios="1"/>
  <mergeCells count="167">
    <mergeCell ref="E157:H157"/>
    <mergeCell ref="A150:B152"/>
    <mergeCell ref="I150:I152"/>
    <mergeCell ref="J150:J152"/>
    <mergeCell ref="K150:K152"/>
    <mergeCell ref="L150:L152"/>
    <mergeCell ref="D155:H156"/>
    <mergeCell ref="J155:M155"/>
    <mergeCell ref="J156:M156"/>
    <mergeCell ref="S144:S146"/>
    <mergeCell ref="T144:T146"/>
    <mergeCell ref="O145:O146"/>
    <mergeCell ref="A147:B149"/>
    <mergeCell ref="I147:I149"/>
    <mergeCell ref="J147:J149"/>
    <mergeCell ref="K147:K149"/>
    <mergeCell ref="L147:L149"/>
    <mergeCell ref="K140:K142"/>
    <mergeCell ref="L140:L142"/>
    <mergeCell ref="A144:B146"/>
    <mergeCell ref="C144:C152"/>
    <mergeCell ref="D144:D152"/>
    <mergeCell ref="E144:E152"/>
    <mergeCell ref="I144:I146"/>
    <mergeCell ref="J144:J146"/>
    <mergeCell ref="K144:K146"/>
    <mergeCell ref="L144:L146"/>
    <mergeCell ref="K130:K132"/>
    <mergeCell ref="L130:L132"/>
    <mergeCell ref="K134:K136"/>
    <mergeCell ref="L134:L136"/>
    <mergeCell ref="S134:S136"/>
    <mergeCell ref="T134:T136"/>
    <mergeCell ref="O135:O136"/>
    <mergeCell ref="A137:B139"/>
    <mergeCell ref="I137:I139"/>
    <mergeCell ref="J137:J139"/>
    <mergeCell ref="K137:K139"/>
    <mergeCell ref="L137:L139"/>
    <mergeCell ref="A134:B136"/>
    <mergeCell ref="C134:C142"/>
    <mergeCell ref="D134:D142"/>
    <mergeCell ref="E134:E142"/>
    <mergeCell ref="I134:I136"/>
    <mergeCell ref="J134:J136"/>
    <mergeCell ref="A140:B142"/>
    <mergeCell ref="I140:I142"/>
    <mergeCell ref="J140:J142"/>
    <mergeCell ref="J124:J126"/>
    <mergeCell ref="K124:K126"/>
    <mergeCell ref="L124:L126"/>
    <mergeCell ref="S124:S126"/>
    <mergeCell ref="T124:T126"/>
    <mergeCell ref="O125:O126"/>
    <mergeCell ref="A119:B121"/>
    <mergeCell ref="I119:I121"/>
    <mergeCell ref="J119:J121"/>
    <mergeCell ref="K119:K121"/>
    <mergeCell ref="L119:L121"/>
    <mergeCell ref="A124:B126"/>
    <mergeCell ref="C124:C132"/>
    <mergeCell ref="D124:D132"/>
    <mergeCell ref="E124:E132"/>
    <mergeCell ref="I124:I126"/>
    <mergeCell ref="A127:B129"/>
    <mergeCell ref="I127:I129"/>
    <mergeCell ref="J127:J129"/>
    <mergeCell ref="K127:K129"/>
    <mergeCell ref="L127:L129"/>
    <mergeCell ref="A130:B132"/>
    <mergeCell ref="I130:I132"/>
    <mergeCell ref="J130:J132"/>
    <mergeCell ref="S113:S115"/>
    <mergeCell ref="T113:T115"/>
    <mergeCell ref="O114:O115"/>
    <mergeCell ref="A116:B118"/>
    <mergeCell ref="I116:I118"/>
    <mergeCell ref="J116:J118"/>
    <mergeCell ref="K116:K118"/>
    <mergeCell ref="L116:L118"/>
    <mergeCell ref="K108:K110"/>
    <mergeCell ref="L108:L110"/>
    <mergeCell ref="A113:B115"/>
    <mergeCell ref="C113:C121"/>
    <mergeCell ref="D113:D121"/>
    <mergeCell ref="E113:E121"/>
    <mergeCell ref="I113:I115"/>
    <mergeCell ref="J113:J115"/>
    <mergeCell ref="K113:K115"/>
    <mergeCell ref="L113:L115"/>
    <mergeCell ref="K102:K104"/>
    <mergeCell ref="L102:L104"/>
    <mergeCell ref="S102:S104"/>
    <mergeCell ref="T102:T104"/>
    <mergeCell ref="O103:O104"/>
    <mergeCell ref="A105:B107"/>
    <mergeCell ref="I105:I107"/>
    <mergeCell ref="J105:J107"/>
    <mergeCell ref="K105:K107"/>
    <mergeCell ref="L105:L107"/>
    <mergeCell ref="A102:B104"/>
    <mergeCell ref="C102:C110"/>
    <mergeCell ref="D102:D110"/>
    <mergeCell ref="E102:E110"/>
    <mergeCell ref="I102:I104"/>
    <mergeCell ref="J102:J104"/>
    <mergeCell ref="A108:B110"/>
    <mergeCell ref="I108:I110"/>
    <mergeCell ref="J108:J110"/>
    <mergeCell ref="K99:K100"/>
    <mergeCell ref="L99:L100"/>
    <mergeCell ref="O99:O100"/>
    <mergeCell ref="P99:R100"/>
    <mergeCell ref="S99:S100"/>
    <mergeCell ref="T99:T100"/>
    <mergeCell ref="B73:B88"/>
    <mergeCell ref="C96:T97"/>
    <mergeCell ref="C98:T98"/>
    <mergeCell ref="D99:D100"/>
    <mergeCell ref="E99:E100"/>
    <mergeCell ref="F99:F100"/>
    <mergeCell ref="G99:G100"/>
    <mergeCell ref="H99:H100"/>
    <mergeCell ref="I99:I100"/>
    <mergeCell ref="J99:J100"/>
    <mergeCell ref="B28:B32"/>
    <mergeCell ref="B38:B54"/>
    <mergeCell ref="B55:B70"/>
    <mergeCell ref="J25:J26"/>
    <mergeCell ref="K25:K26"/>
    <mergeCell ref="L25:L26"/>
    <mergeCell ref="M25:M26"/>
    <mergeCell ref="N25:N26"/>
    <mergeCell ref="O25:O26"/>
    <mergeCell ref="C23:R24"/>
    <mergeCell ref="C25:C26"/>
    <mergeCell ref="D25:D26"/>
    <mergeCell ref="E25:E26"/>
    <mergeCell ref="F25:F26"/>
    <mergeCell ref="G25:G26"/>
    <mergeCell ref="H25:H26"/>
    <mergeCell ref="I25:I26"/>
    <mergeCell ref="P25:P26"/>
    <mergeCell ref="Q25:Q26"/>
    <mergeCell ref="R25:R26"/>
    <mergeCell ref="L5:L6"/>
    <mergeCell ref="C12:L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C3:K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scale="10" orientation="landscape" horizontalDpi="4294967293" r:id="rId1"/>
  <rowBreaks count="2" manualBreakCount="2">
    <brk id="89" max="16383" man="1"/>
    <brk id="112" max="19" man="1"/>
  </rowBreaks>
  <colBreaks count="1" manualBreakCount="1">
    <brk id="8" max="1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E202"/>
  <sheetViews>
    <sheetView showGridLines="0" view="pageBreakPreview" zoomScale="80" zoomScaleNormal="20" zoomScaleSheetLayoutView="80" workbookViewId="0">
      <selection activeCell="C23" sqref="C23:R24"/>
    </sheetView>
  </sheetViews>
  <sheetFormatPr baseColWidth="10" defaultColWidth="15.7109375" defaultRowHeight="15" x14ac:dyDescent="0.2"/>
  <cols>
    <col min="1" max="1" width="15.7109375" style="95"/>
    <col min="2" max="8" width="20.7109375" style="95" customWidth="1"/>
    <col min="9" max="9" width="24.28515625" style="95" customWidth="1"/>
    <col min="10" max="10" width="22.140625" style="95" customWidth="1"/>
    <col min="11" max="14" width="20.7109375" style="95" customWidth="1"/>
    <col min="15" max="16" width="20.7109375" style="97" customWidth="1"/>
    <col min="17" max="17" width="24.28515625" style="97" customWidth="1"/>
    <col min="18" max="26" width="20.7109375" style="97" customWidth="1"/>
    <col min="27" max="33" width="20.7109375" style="95" customWidth="1"/>
    <col min="34" max="34" width="19.85546875" style="95" bestFit="1" customWidth="1"/>
    <col min="35" max="38" width="15.85546875" style="95" bestFit="1" customWidth="1"/>
    <col min="39" max="43" width="16" style="95" customWidth="1"/>
    <col min="44" max="47" width="10.7109375" style="95" customWidth="1"/>
    <col min="48" max="48" width="16" style="95" bestFit="1" customWidth="1"/>
    <col min="49" max="49" width="15.85546875" style="95" bestFit="1" customWidth="1"/>
    <col min="50" max="50" width="20.7109375" style="95" bestFit="1" customWidth="1"/>
    <col min="51" max="51" width="15.85546875" style="95" bestFit="1" customWidth="1"/>
    <col min="52" max="52" width="15.7109375" style="95"/>
    <col min="53" max="53" width="20" style="95" customWidth="1"/>
    <col min="54" max="55" width="10.7109375" style="95" customWidth="1"/>
    <col min="56" max="16384" width="15.7109375" style="95"/>
  </cols>
  <sheetData>
    <row r="1" spans="2:83" ht="30" customHeight="1" x14ac:dyDescent="0.2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2:83" ht="30" customHeight="1" thickBot="1" x14ac:dyDescent="0.25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2:83" ht="30" customHeight="1" x14ac:dyDescent="0.2">
      <c r="B3" s="96"/>
      <c r="C3" s="1056" t="s">
        <v>150</v>
      </c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8"/>
    </row>
    <row r="4" spans="2:83" ht="30" customHeight="1" thickBot="1" x14ac:dyDescent="0.25">
      <c r="B4" s="96"/>
      <c r="C4" s="1059"/>
      <c r="D4" s="1060"/>
      <c r="E4" s="1060"/>
      <c r="F4" s="1060"/>
      <c r="G4" s="1060"/>
      <c r="H4" s="1060"/>
      <c r="I4" s="1060"/>
      <c r="J4" s="1060"/>
      <c r="K4" s="1060"/>
      <c r="L4" s="1060"/>
      <c r="M4" s="1060"/>
      <c r="N4" s="1061"/>
    </row>
    <row r="5" spans="2:83" ht="30" customHeight="1" x14ac:dyDescent="0.2">
      <c r="B5" s="96"/>
      <c r="C5" s="1067" t="s">
        <v>151</v>
      </c>
      <c r="D5" s="837" t="s">
        <v>7</v>
      </c>
      <c r="E5" s="837" t="s">
        <v>152</v>
      </c>
      <c r="F5" s="837" t="s">
        <v>8</v>
      </c>
      <c r="G5" s="837" t="s">
        <v>75</v>
      </c>
      <c r="H5" s="837" t="s">
        <v>153</v>
      </c>
      <c r="I5" s="837" t="s">
        <v>82</v>
      </c>
      <c r="J5" s="837" t="s">
        <v>316</v>
      </c>
      <c r="K5" s="837" t="s">
        <v>410</v>
      </c>
      <c r="L5" s="1000"/>
      <c r="M5" s="1069" t="s">
        <v>370</v>
      </c>
      <c r="N5" s="1071" t="s">
        <v>371</v>
      </c>
    </row>
    <row r="6" spans="2:83" ht="30" customHeight="1" thickBot="1" x14ac:dyDescent="0.25">
      <c r="B6" s="96"/>
      <c r="C6" s="1068"/>
      <c r="D6" s="838"/>
      <c r="E6" s="838"/>
      <c r="F6" s="838"/>
      <c r="G6" s="838"/>
      <c r="H6" s="838"/>
      <c r="I6" s="838"/>
      <c r="J6" s="838"/>
      <c r="K6" s="838"/>
      <c r="L6" s="1001"/>
      <c r="M6" s="1070" t="s">
        <v>370</v>
      </c>
      <c r="N6" s="1072"/>
    </row>
    <row r="7" spans="2:83" ht="30" customHeight="1" x14ac:dyDescent="0.2">
      <c r="B7" s="96"/>
      <c r="C7" s="274"/>
      <c r="D7" s="275"/>
      <c r="E7" s="275"/>
      <c r="F7" s="275"/>
      <c r="G7" s="275"/>
      <c r="H7" s="275"/>
      <c r="I7" s="275"/>
      <c r="J7" s="275"/>
      <c r="K7" s="275"/>
      <c r="L7" s="276"/>
      <c r="M7" s="281"/>
      <c r="N7" s="276"/>
    </row>
    <row r="8" spans="2:83" s="112" customFormat="1" ht="60" customHeight="1" x14ac:dyDescent="0.2">
      <c r="B8" s="104"/>
      <c r="C8" s="105"/>
      <c r="D8" s="106"/>
      <c r="E8" s="107"/>
      <c r="F8" s="108"/>
      <c r="G8" s="108"/>
      <c r="H8" s="108"/>
      <c r="I8" s="107"/>
      <c r="J8" s="106"/>
      <c r="K8" s="106"/>
      <c r="L8" s="298"/>
      <c r="M8" s="277">
        <v>2</v>
      </c>
      <c r="N8" s="280">
        <v>0.95450000000000002</v>
      </c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CD8" s="95"/>
      <c r="CE8" s="95"/>
    </row>
    <row r="9" spans="2:83" s="112" customFormat="1" ht="30" customHeight="1" thickBot="1" x14ac:dyDescent="0.25">
      <c r="B9" s="104"/>
      <c r="C9" s="113"/>
      <c r="D9" s="114"/>
      <c r="E9" s="114"/>
      <c r="F9" s="114"/>
      <c r="G9" s="114"/>
      <c r="H9" s="114"/>
      <c r="I9" s="114"/>
      <c r="J9" s="114"/>
      <c r="K9" s="114"/>
      <c r="L9" s="273"/>
      <c r="M9" s="278"/>
      <c r="N9" s="279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CD9" s="95"/>
      <c r="CE9" s="95"/>
    </row>
    <row r="10" spans="2:83" s="112" customFormat="1" ht="30" customHeight="1" x14ac:dyDescent="0.2"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96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CD10" s="95"/>
      <c r="CE10" s="95"/>
    </row>
    <row r="11" spans="2:83" s="112" customFormat="1" ht="30" customHeight="1" thickBot="1" x14ac:dyDescent="0.25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96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CD11" s="95"/>
      <c r="CE11" s="95"/>
    </row>
    <row r="12" spans="2:83" s="112" customFormat="1" ht="30" customHeight="1" x14ac:dyDescent="0.2">
      <c r="B12" s="104"/>
      <c r="C12" s="1056" t="s">
        <v>272</v>
      </c>
      <c r="D12" s="1057"/>
      <c r="E12" s="1057"/>
      <c r="F12" s="1057"/>
      <c r="G12" s="1057"/>
      <c r="H12" s="1057"/>
      <c r="I12" s="1057"/>
      <c r="J12" s="1057"/>
      <c r="K12" s="1057"/>
      <c r="L12" s="1058"/>
      <c r="M12" s="96"/>
      <c r="N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CD12" s="95"/>
      <c r="CE12" s="95"/>
    </row>
    <row r="13" spans="2:83" ht="30" customHeight="1" thickBot="1" x14ac:dyDescent="0.25">
      <c r="B13" s="104"/>
      <c r="C13" s="1059"/>
      <c r="D13" s="1060"/>
      <c r="E13" s="1060"/>
      <c r="F13" s="1060"/>
      <c r="G13" s="1060"/>
      <c r="H13" s="1060"/>
      <c r="I13" s="1060"/>
      <c r="J13" s="1060"/>
      <c r="K13" s="1060"/>
      <c r="L13" s="1061"/>
      <c r="M13" s="96"/>
    </row>
    <row r="14" spans="2:83" ht="30" customHeight="1" x14ac:dyDescent="0.2">
      <c r="B14" s="104"/>
      <c r="C14" s="1062" t="s">
        <v>151</v>
      </c>
      <c r="D14" s="1063" t="s">
        <v>3</v>
      </c>
      <c r="E14" s="1063" t="s">
        <v>9</v>
      </c>
      <c r="F14" s="1063" t="s">
        <v>1</v>
      </c>
      <c r="G14" s="1064" t="s">
        <v>408</v>
      </c>
      <c r="H14" s="1064" t="s">
        <v>48</v>
      </c>
      <c r="I14" s="1063" t="s">
        <v>409</v>
      </c>
      <c r="J14" s="1065" t="s">
        <v>318</v>
      </c>
      <c r="K14" s="817" t="s">
        <v>316</v>
      </c>
      <c r="L14" s="1066" t="s">
        <v>410</v>
      </c>
      <c r="M14" s="96"/>
    </row>
    <row r="15" spans="2:83" ht="30" customHeight="1" thickBot="1" x14ac:dyDescent="0.25">
      <c r="B15" s="104"/>
      <c r="C15" s="830"/>
      <c r="D15" s="832"/>
      <c r="E15" s="832"/>
      <c r="F15" s="832"/>
      <c r="G15" s="834"/>
      <c r="H15" s="834"/>
      <c r="I15" s="832"/>
      <c r="J15" s="836"/>
      <c r="K15" s="838"/>
      <c r="L15" s="840"/>
      <c r="M15" s="96"/>
    </row>
    <row r="16" spans="2:83" ht="30" customHeight="1" x14ac:dyDescent="0.2">
      <c r="B16" s="104"/>
      <c r="C16" s="100"/>
      <c r="D16" s="101"/>
      <c r="E16" s="101"/>
      <c r="F16" s="101"/>
      <c r="G16" s="101"/>
      <c r="H16" s="101"/>
      <c r="I16" s="101"/>
      <c r="J16" s="101"/>
      <c r="K16" s="101"/>
      <c r="L16" s="102"/>
      <c r="M16" s="96"/>
    </row>
    <row r="17" spans="2:46" ht="30" customHeight="1" x14ac:dyDescent="0.2">
      <c r="B17" s="104"/>
      <c r="C17" s="105">
        <v>1</v>
      </c>
      <c r="D17" s="108"/>
      <c r="E17" s="108"/>
      <c r="F17" s="108"/>
      <c r="G17" s="108"/>
      <c r="H17" s="108"/>
      <c r="I17" s="108"/>
      <c r="J17" s="108"/>
      <c r="K17" s="108"/>
      <c r="L17" s="116"/>
      <c r="M17" s="96"/>
    </row>
    <row r="18" spans="2:46" ht="30" customHeight="1" thickBot="1" x14ac:dyDescent="0.25">
      <c r="B18" s="104"/>
      <c r="C18" s="117"/>
      <c r="D18" s="118"/>
      <c r="E18" s="118"/>
      <c r="F18" s="118"/>
      <c r="G18" s="119"/>
      <c r="H18" s="119"/>
      <c r="I18" s="118"/>
      <c r="J18" s="118"/>
      <c r="K18" s="119"/>
      <c r="L18" s="120"/>
      <c r="M18" s="96"/>
    </row>
    <row r="19" spans="2:46" ht="30" customHeight="1" x14ac:dyDescent="0.2"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96"/>
    </row>
    <row r="20" spans="2:46" ht="30" customHeight="1" x14ac:dyDescent="0.2"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96"/>
      <c r="AS20" s="104"/>
      <c r="AT20" s="96"/>
    </row>
    <row r="21" spans="2:46" ht="30" customHeight="1" x14ac:dyDescent="0.2"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96"/>
      <c r="AS21" s="104"/>
      <c r="AT21" s="96"/>
    </row>
    <row r="22" spans="2:46" ht="30" customHeight="1" thickBot="1" x14ac:dyDescent="0.25"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96"/>
      <c r="AS22" s="104"/>
      <c r="AT22" s="96"/>
    </row>
    <row r="23" spans="2:46" ht="30" customHeight="1" x14ac:dyDescent="0.2">
      <c r="B23" s="104"/>
      <c r="C23" s="1056" t="s">
        <v>279</v>
      </c>
      <c r="D23" s="1057"/>
      <c r="E23" s="1057"/>
      <c r="F23" s="1057"/>
      <c r="G23" s="1057"/>
      <c r="H23" s="1057"/>
      <c r="I23" s="1057"/>
      <c r="J23" s="1057"/>
      <c r="K23" s="1057"/>
      <c r="L23" s="1057"/>
      <c r="M23" s="1057"/>
      <c r="N23" s="1057"/>
      <c r="O23" s="1057"/>
      <c r="P23" s="1057"/>
      <c r="Q23" s="1057"/>
      <c r="R23" s="1058"/>
      <c r="AS23" s="104"/>
      <c r="AT23" s="96"/>
    </row>
    <row r="24" spans="2:46" ht="30" customHeight="1" thickBot="1" x14ac:dyDescent="0.25">
      <c r="B24" s="104"/>
      <c r="C24" s="1059"/>
      <c r="D24" s="1060"/>
      <c r="E24" s="1060"/>
      <c r="F24" s="1060"/>
      <c r="G24" s="1060"/>
      <c r="H24" s="1060"/>
      <c r="I24" s="1060"/>
      <c r="J24" s="1060"/>
      <c r="K24" s="1060"/>
      <c r="L24" s="1060"/>
      <c r="M24" s="1060"/>
      <c r="N24" s="1060"/>
      <c r="O24" s="1060"/>
      <c r="P24" s="1060"/>
      <c r="Q24" s="1060"/>
      <c r="R24" s="1061"/>
      <c r="AS24" s="104"/>
      <c r="AT24" s="96"/>
    </row>
    <row r="25" spans="2:46" ht="30" customHeight="1" x14ac:dyDescent="0.2">
      <c r="B25" s="104"/>
      <c r="C25" s="841" t="s">
        <v>156</v>
      </c>
      <c r="D25" s="843" t="s">
        <v>0</v>
      </c>
      <c r="E25" s="843" t="s">
        <v>3</v>
      </c>
      <c r="F25" s="843" t="s">
        <v>1</v>
      </c>
      <c r="G25" s="843" t="s">
        <v>157</v>
      </c>
      <c r="H25" s="843" t="s">
        <v>155</v>
      </c>
      <c r="I25" s="845" t="s">
        <v>82</v>
      </c>
      <c r="J25" s="845" t="s">
        <v>158</v>
      </c>
      <c r="K25" s="859" t="s">
        <v>280</v>
      </c>
      <c r="L25" s="859" t="s">
        <v>281</v>
      </c>
      <c r="M25" s="843" t="s">
        <v>159</v>
      </c>
      <c r="N25" s="859" t="s">
        <v>286</v>
      </c>
      <c r="O25" s="845" t="s">
        <v>160</v>
      </c>
      <c r="P25" s="845" t="s">
        <v>324</v>
      </c>
      <c r="Q25" s="847" t="s">
        <v>161</v>
      </c>
      <c r="R25" s="1076" t="s">
        <v>115</v>
      </c>
      <c r="AS25" s="104"/>
    </row>
    <row r="26" spans="2:46" ht="30" customHeight="1" thickBot="1" x14ac:dyDescent="0.25">
      <c r="B26" s="104"/>
      <c r="C26" s="842"/>
      <c r="D26" s="844"/>
      <c r="E26" s="844"/>
      <c r="F26" s="844"/>
      <c r="G26" s="844"/>
      <c r="H26" s="844"/>
      <c r="I26" s="846"/>
      <c r="J26" s="846"/>
      <c r="K26" s="860"/>
      <c r="L26" s="860"/>
      <c r="M26" s="844"/>
      <c r="N26" s="860"/>
      <c r="O26" s="846"/>
      <c r="P26" s="846"/>
      <c r="Q26" s="848"/>
      <c r="R26" s="1077"/>
      <c r="AS26" s="104"/>
    </row>
    <row r="27" spans="2:46" ht="30" customHeight="1" thickBot="1" x14ac:dyDescent="0.25">
      <c r="B27" s="104"/>
      <c r="C27" s="267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268"/>
      <c r="R27" s="269"/>
      <c r="AS27" s="104"/>
    </row>
    <row r="28" spans="2:46" ht="30" customHeight="1" x14ac:dyDescent="0.2">
      <c r="B28" s="1073" t="s">
        <v>289</v>
      </c>
      <c r="C28" s="342" t="s">
        <v>273</v>
      </c>
      <c r="D28" s="343" t="s">
        <v>278</v>
      </c>
      <c r="E28" s="343" t="s">
        <v>227</v>
      </c>
      <c r="F28" s="343" t="s">
        <v>228</v>
      </c>
      <c r="G28" s="343" t="s">
        <v>229</v>
      </c>
      <c r="H28" s="343" t="s">
        <v>381</v>
      </c>
      <c r="I28" s="344">
        <v>43244</v>
      </c>
      <c r="J28" s="345">
        <v>5</v>
      </c>
      <c r="K28" s="346">
        <v>1</v>
      </c>
      <c r="L28" s="347">
        <v>1</v>
      </c>
      <c r="M28" s="348">
        <v>7.0000000000000007E-2</v>
      </c>
      <c r="N28" s="349">
        <f>J28+(M28)/1000</f>
        <v>5.00007</v>
      </c>
      <c r="O28" s="350">
        <v>5.2999999999999999E-2</v>
      </c>
      <c r="P28" s="351">
        <f>(0.34848*((751.3+754.3)/2)-0.009024*((53.5+55.8)/2)*EXP(0.0612*((19.8+20.6)/2)))/(273.15+((19.8+20.6)/2))</f>
        <v>0.88848803069573967</v>
      </c>
      <c r="Q28" s="343" t="s">
        <v>285</v>
      </c>
      <c r="R28" s="352" t="s">
        <v>380</v>
      </c>
      <c r="AS28" s="104"/>
    </row>
    <row r="29" spans="2:46" ht="30" customHeight="1" x14ac:dyDescent="0.2">
      <c r="B29" s="1074"/>
      <c r="C29" s="353" t="s">
        <v>274</v>
      </c>
      <c r="D29" s="329" t="s">
        <v>278</v>
      </c>
      <c r="E29" s="329" t="s">
        <v>227</v>
      </c>
      <c r="F29" s="329" t="s">
        <v>228</v>
      </c>
      <c r="G29" s="329" t="s">
        <v>229</v>
      </c>
      <c r="H29" s="329" t="s">
        <v>381</v>
      </c>
      <c r="I29" s="354">
        <v>43244</v>
      </c>
      <c r="J29" s="355">
        <v>200</v>
      </c>
      <c r="K29" s="356">
        <v>2</v>
      </c>
      <c r="L29" s="357">
        <v>2</v>
      </c>
      <c r="M29" s="358">
        <v>0.1</v>
      </c>
      <c r="N29" s="359">
        <f t="shared" ref="N29:N32" si="0">J29+(M29)/1000</f>
        <v>200.0001</v>
      </c>
      <c r="O29" s="333">
        <v>0.33</v>
      </c>
      <c r="P29" s="332">
        <f t="shared" ref="P29:P32" si="1">(0.34848*((751.3+754.3)/2)-0.009024*((53.5+55.8)/2)*EXP(0.0612*((19.8+20.6)/2)))/(273.15+((19.8+20.6)/2))</f>
        <v>0.88848803069573967</v>
      </c>
      <c r="Q29" s="329" t="s">
        <v>285</v>
      </c>
      <c r="R29" s="360" t="s">
        <v>380</v>
      </c>
      <c r="AS29" s="104"/>
    </row>
    <row r="30" spans="2:46" ht="30" customHeight="1" x14ac:dyDescent="0.2">
      <c r="B30" s="1074"/>
      <c r="C30" s="353" t="s">
        <v>275</v>
      </c>
      <c r="D30" s="329" t="s">
        <v>278</v>
      </c>
      <c r="E30" s="329" t="s">
        <v>227</v>
      </c>
      <c r="F30" s="329" t="s">
        <v>228</v>
      </c>
      <c r="G30" s="329" t="s">
        <v>229</v>
      </c>
      <c r="H30" s="329" t="s">
        <v>381</v>
      </c>
      <c r="I30" s="354">
        <v>43244</v>
      </c>
      <c r="J30" s="355">
        <v>1000</v>
      </c>
      <c r="K30" s="356">
        <v>5</v>
      </c>
      <c r="L30" s="357">
        <v>5</v>
      </c>
      <c r="M30" s="358">
        <v>0.5</v>
      </c>
      <c r="N30" s="332">
        <f t="shared" si="0"/>
        <v>1000.0005</v>
      </c>
      <c r="O30" s="333">
        <v>1.6</v>
      </c>
      <c r="P30" s="332">
        <f t="shared" si="1"/>
        <v>0.88848803069573967</v>
      </c>
      <c r="Q30" s="329" t="s">
        <v>285</v>
      </c>
      <c r="R30" s="360" t="s">
        <v>380</v>
      </c>
      <c r="AS30" s="104"/>
    </row>
    <row r="31" spans="2:46" ht="30" customHeight="1" x14ac:dyDescent="0.2">
      <c r="B31" s="1074"/>
      <c r="C31" s="353" t="s">
        <v>276</v>
      </c>
      <c r="D31" s="329" t="s">
        <v>278</v>
      </c>
      <c r="E31" s="329" t="s">
        <v>227</v>
      </c>
      <c r="F31" s="329" t="s">
        <v>228</v>
      </c>
      <c r="G31" s="329" t="s">
        <v>229</v>
      </c>
      <c r="H31" s="329" t="s">
        <v>381</v>
      </c>
      <c r="I31" s="354">
        <v>43244</v>
      </c>
      <c r="J31" s="355">
        <v>2000</v>
      </c>
      <c r="K31" s="356">
        <v>10</v>
      </c>
      <c r="L31" s="357">
        <v>10</v>
      </c>
      <c r="M31" s="358">
        <v>3.6</v>
      </c>
      <c r="N31" s="332">
        <f t="shared" si="0"/>
        <v>2000.0036</v>
      </c>
      <c r="O31" s="333">
        <v>3</v>
      </c>
      <c r="P31" s="332">
        <f t="shared" si="1"/>
        <v>0.88848803069573967</v>
      </c>
      <c r="Q31" s="329" t="s">
        <v>285</v>
      </c>
      <c r="R31" s="360" t="s">
        <v>380</v>
      </c>
      <c r="AS31" s="104"/>
    </row>
    <row r="32" spans="2:46" ht="30" customHeight="1" thickBot="1" x14ac:dyDescent="0.25">
      <c r="B32" s="1075"/>
      <c r="C32" s="361" t="s">
        <v>277</v>
      </c>
      <c r="D32" s="340" t="s">
        <v>278</v>
      </c>
      <c r="E32" s="340" t="s">
        <v>227</v>
      </c>
      <c r="F32" s="340" t="s">
        <v>228</v>
      </c>
      <c r="G32" s="340" t="s">
        <v>229</v>
      </c>
      <c r="H32" s="340" t="s">
        <v>381</v>
      </c>
      <c r="I32" s="362">
        <v>43244</v>
      </c>
      <c r="J32" s="363">
        <v>5000</v>
      </c>
      <c r="K32" s="364">
        <v>20</v>
      </c>
      <c r="L32" s="365">
        <v>20</v>
      </c>
      <c r="M32" s="366">
        <v>3.7</v>
      </c>
      <c r="N32" s="341">
        <f t="shared" si="0"/>
        <v>5000.0037000000002</v>
      </c>
      <c r="O32" s="367">
        <v>8</v>
      </c>
      <c r="P32" s="341">
        <f t="shared" si="1"/>
        <v>0.88848803069573967</v>
      </c>
      <c r="Q32" s="340" t="s">
        <v>285</v>
      </c>
      <c r="R32" s="368" t="s">
        <v>380</v>
      </c>
      <c r="AS32" s="104"/>
    </row>
    <row r="33" spans="2:45" ht="30" customHeight="1" x14ac:dyDescent="0.2">
      <c r="B33" s="147"/>
      <c r="C33" s="369"/>
      <c r="D33" s="370"/>
      <c r="E33" s="370"/>
      <c r="F33" s="370"/>
      <c r="G33" s="370"/>
      <c r="H33" s="370"/>
      <c r="I33" s="371"/>
      <c r="J33" s="372"/>
      <c r="K33" s="373">
        <v>50</v>
      </c>
      <c r="L33" s="374">
        <v>50</v>
      </c>
      <c r="M33" s="375"/>
      <c r="N33" s="376"/>
      <c r="O33" s="370"/>
      <c r="P33" s="370"/>
      <c r="Q33" s="370"/>
      <c r="R33" s="377"/>
      <c r="AS33" s="104"/>
    </row>
    <row r="34" spans="2:45" ht="30" customHeight="1" x14ac:dyDescent="0.2">
      <c r="B34" s="147"/>
      <c r="C34" s="353"/>
      <c r="D34" s="329"/>
      <c r="E34" s="329"/>
      <c r="F34" s="329"/>
      <c r="G34" s="329"/>
      <c r="H34" s="329"/>
      <c r="I34" s="354"/>
      <c r="J34" s="355"/>
      <c r="K34" s="356">
        <v>100</v>
      </c>
      <c r="L34" s="357">
        <v>100</v>
      </c>
      <c r="M34" s="358"/>
      <c r="N34" s="332"/>
      <c r="O34" s="329"/>
      <c r="P34" s="329"/>
      <c r="Q34" s="329"/>
      <c r="R34" s="360"/>
      <c r="AS34" s="104"/>
    </row>
    <row r="35" spans="2:45" ht="30" customHeight="1" x14ac:dyDescent="0.2">
      <c r="B35" s="147"/>
      <c r="C35" s="353"/>
      <c r="D35" s="329"/>
      <c r="E35" s="329"/>
      <c r="F35" s="329"/>
      <c r="G35" s="329"/>
      <c r="H35" s="329"/>
      <c r="I35" s="354"/>
      <c r="J35" s="355"/>
      <c r="K35" s="356">
        <v>200</v>
      </c>
      <c r="L35" s="357">
        <v>200</v>
      </c>
      <c r="M35" s="358"/>
      <c r="N35" s="332"/>
      <c r="O35" s="329"/>
      <c r="P35" s="329"/>
      <c r="Q35" s="329"/>
      <c r="R35" s="360"/>
      <c r="AS35" s="104"/>
    </row>
    <row r="36" spans="2:45" ht="30" customHeight="1" x14ac:dyDescent="0.2">
      <c r="B36" s="147"/>
      <c r="C36" s="353"/>
      <c r="D36" s="329"/>
      <c r="E36" s="329"/>
      <c r="F36" s="329"/>
      <c r="G36" s="329"/>
      <c r="H36" s="329"/>
      <c r="I36" s="354"/>
      <c r="J36" s="355"/>
      <c r="K36" s="356">
        <v>500</v>
      </c>
      <c r="L36" s="357">
        <v>500</v>
      </c>
      <c r="M36" s="358"/>
      <c r="N36" s="332"/>
      <c r="O36" s="329"/>
      <c r="P36" s="329"/>
      <c r="Q36" s="329"/>
      <c r="R36" s="360"/>
      <c r="AS36" s="104"/>
    </row>
    <row r="37" spans="2:45" ht="30" customHeight="1" thickBot="1" x14ac:dyDescent="0.25">
      <c r="B37" s="104"/>
      <c r="C37" s="378"/>
      <c r="D37" s="379"/>
      <c r="E37" s="379"/>
      <c r="F37" s="379"/>
      <c r="G37" s="379"/>
      <c r="H37" s="379"/>
      <c r="I37" s="380"/>
      <c r="J37" s="381"/>
      <c r="K37" s="727">
        <v>1000</v>
      </c>
      <c r="L37" s="728">
        <v>1000</v>
      </c>
      <c r="M37" s="382"/>
      <c r="N37" s="379"/>
      <c r="O37" s="379"/>
      <c r="P37" s="383"/>
      <c r="Q37" s="379"/>
      <c r="R37" s="384"/>
      <c r="AS37" s="104"/>
    </row>
    <row r="38" spans="2:45" ht="30" customHeight="1" x14ac:dyDescent="0.2">
      <c r="B38" s="1083" t="s">
        <v>399</v>
      </c>
      <c r="C38" s="342" t="s">
        <v>162</v>
      </c>
      <c r="D38" s="343" t="s">
        <v>163</v>
      </c>
      <c r="E38" s="343" t="s">
        <v>148</v>
      </c>
      <c r="F38" s="343">
        <v>27129360</v>
      </c>
      <c r="G38" s="343" t="s">
        <v>164</v>
      </c>
      <c r="H38" s="343" t="s">
        <v>382</v>
      </c>
      <c r="I38" s="344">
        <v>43228</v>
      </c>
      <c r="J38" s="345">
        <v>1</v>
      </c>
      <c r="K38" s="346">
        <v>2000</v>
      </c>
      <c r="L38" s="347">
        <v>2000</v>
      </c>
      <c r="M38" s="385">
        <v>8.9999999999999993E-3</v>
      </c>
      <c r="N38" s="349">
        <f>J38+(M38)/1000</f>
        <v>1.0000089999999999</v>
      </c>
      <c r="O38" s="386">
        <v>0.01</v>
      </c>
      <c r="P38" s="351">
        <f>(0.34848*((751.2+755.4)/2)-0.009024*((48.4+57.9)/2)*EXP(0.0612*((19.5+20.7)/2)))/(273.15+((19.5+20.7)/2))</f>
        <v>0.88957844095478944</v>
      </c>
      <c r="Q38" s="343" t="s">
        <v>165</v>
      </c>
      <c r="R38" s="352" t="s">
        <v>292</v>
      </c>
      <c r="AS38" s="104"/>
    </row>
    <row r="39" spans="2:45" ht="30" customHeight="1" x14ac:dyDescent="0.2">
      <c r="B39" s="1081"/>
      <c r="C39" s="353" t="s">
        <v>166</v>
      </c>
      <c r="D39" s="329" t="s">
        <v>163</v>
      </c>
      <c r="E39" s="329" t="s">
        <v>148</v>
      </c>
      <c r="F39" s="329">
        <v>27129360</v>
      </c>
      <c r="G39" s="329" t="s">
        <v>167</v>
      </c>
      <c r="H39" s="329" t="s">
        <v>382</v>
      </c>
      <c r="I39" s="354">
        <v>43228</v>
      </c>
      <c r="J39" s="355">
        <v>2</v>
      </c>
      <c r="K39" s="356">
        <v>5000</v>
      </c>
      <c r="L39" s="357">
        <v>5000</v>
      </c>
      <c r="M39" s="387">
        <v>0.01</v>
      </c>
      <c r="N39" s="388">
        <f t="shared" ref="N39:N88" si="2">J39+(M39)/1000</f>
        <v>2.0000100000000001</v>
      </c>
      <c r="O39" s="329">
        <v>1.2E-2</v>
      </c>
      <c r="P39" s="332">
        <f>(0.34848*((751.2+755.4)/2)-0.009024*((48.4+57.9)/2)*EXP(0.0612*((19.5+20.7)/2)))/(273.15+((19.5+20.7)/2))</f>
        <v>0.88957844095478944</v>
      </c>
      <c r="Q39" s="329" t="str">
        <f t="shared" ref="Q39:Q54" si="3">Q38</f>
        <v>M-001</v>
      </c>
      <c r="R39" s="360" t="s">
        <v>292</v>
      </c>
      <c r="AS39" s="104"/>
    </row>
    <row r="40" spans="2:45" ht="30" customHeight="1" x14ac:dyDescent="0.2">
      <c r="B40" s="1081"/>
      <c r="C40" s="353" t="s">
        <v>467</v>
      </c>
      <c r="D40" s="329" t="s">
        <v>163</v>
      </c>
      <c r="E40" s="329" t="s">
        <v>148</v>
      </c>
      <c r="F40" s="329">
        <v>27129360</v>
      </c>
      <c r="G40" s="329" t="s">
        <v>169</v>
      </c>
      <c r="H40" s="329" t="s">
        <v>382</v>
      </c>
      <c r="I40" s="354">
        <v>43228</v>
      </c>
      <c r="J40" s="355">
        <v>2</v>
      </c>
      <c r="K40" s="356">
        <v>10000</v>
      </c>
      <c r="L40" s="357">
        <v>8000</v>
      </c>
      <c r="M40" s="358">
        <v>1.7000000000000001E-2</v>
      </c>
      <c r="N40" s="388">
        <f t="shared" si="2"/>
        <v>2.0000170000000002</v>
      </c>
      <c r="O40" s="329">
        <v>1.2E-2</v>
      </c>
      <c r="P40" s="332">
        <f>(0.34848*((751.2+755.4)/2)-0.009024*((48.4+57.9)/2)*EXP(0.0612*((19.5+20.7)/2)))/(273.15+((19.5+20.7)/2))</f>
        <v>0.88957844095478944</v>
      </c>
      <c r="Q40" s="329" t="str">
        <f t="shared" si="3"/>
        <v>M-001</v>
      </c>
      <c r="R40" s="360" t="s">
        <v>292</v>
      </c>
      <c r="AS40" s="104"/>
    </row>
    <row r="41" spans="2:45" ht="30" customHeight="1" x14ac:dyDescent="0.2">
      <c r="B41" s="1081"/>
      <c r="C41" s="353" t="s">
        <v>170</v>
      </c>
      <c r="D41" s="329" t="s">
        <v>163</v>
      </c>
      <c r="E41" s="329" t="s">
        <v>148</v>
      </c>
      <c r="F41" s="329">
        <v>27129360</v>
      </c>
      <c r="G41" s="329" t="s">
        <v>171</v>
      </c>
      <c r="H41" s="329" t="s">
        <v>382</v>
      </c>
      <c r="I41" s="354">
        <v>43228</v>
      </c>
      <c r="J41" s="355">
        <v>5</v>
      </c>
      <c r="K41" s="356">
        <v>15000</v>
      </c>
      <c r="L41" s="357">
        <v>8200</v>
      </c>
      <c r="M41" s="387">
        <v>2E-3</v>
      </c>
      <c r="N41" s="388">
        <f t="shared" si="2"/>
        <v>5.0000020000000003</v>
      </c>
      <c r="O41" s="329">
        <v>1.6E-2</v>
      </c>
      <c r="P41" s="332">
        <f>(0.34848*((751.2+755.4)/2)-0.009024*((48.4+57.9)/2)*EXP(0.0612*((19.5+20.7)/2)))/(273.15+((19.5+20.7)/2))</f>
        <v>0.88957844095478944</v>
      </c>
      <c r="Q41" s="329" t="str">
        <f t="shared" si="3"/>
        <v>M-001</v>
      </c>
      <c r="R41" s="360" t="s">
        <v>292</v>
      </c>
      <c r="AS41" s="104"/>
    </row>
    <row r="42" spans="2:45" ht="30" customHeight="1" x14ac:dyDescent="0.2">
      <c r="B42" s="1081"/>
      <c r="C42" s="353" t="s">
        <v>172</v>
      </c>
      <c r="D42" s="329" t="s">
        <v>163</v>
      </c>
      <c r="E42" s="329" t="s">
        <v>148</v>
      </c>
      <c r="F42" s="329">
        <v>27129360</v>
      </c>
      <c r="G42" s="329" t="s">
        <v>173</v>
      </c>
      <c r="H42" s="329" t="s">
        <v>382</v>
      </c>
      <c r="I42" s="354">
        <v>43228</v>
      </c>
      <c r="J42" s="355">
        <v>10</v>
      </c>
      <c r="K42" s="356">
        <v>20000</v>
      </c>
      <c r="L42" s="357">
        <v>10000</v>
      </c>
      <c r="M42" s="358">
        <v>1.9E-2</v>
      </c>
      <c r="N42" s="388">
        <f t="shared" si="2"/>
        <v>10.000019</v>
      </c>
      <c r="O42" s="389">
        <v>0.02</v>
      </c>
      <c r="P42" s="332">
        <f t="shared" ref="P42:P54" si="4">(0.34848*((751.2+755.4)/2)-0.009024*((48.4+57.9)/2)*EXP(0.0612*((19.5+20.7)/2)))/(273.15+((19.5+20.7)/2))</f>
        <v>0.88957844095478944</v>
      </c>
      <c r="Q42" s="329" t="str">
        <f t="shared" si="3"/>
        <v>M-001</v>
      </c>
      <c r="R42" s="360" t="s">
        <v>292</v>
      </c>
      <c r="AS42" s="104"/>
    </row>
    <row r="43" spans="2:45" ht="30" customHeight="1" x14ac:dyDescent="0.2">
      <c r="B43" s="1081"/>
      <c r="C43" s="353" t="s">
        <v>174</v>
      </c>
      <c r="D43" s="329" t="s">
        <v>163</v>
      </c>
      <c r="E43" s="329" t="s">
        <v>148</v>
      </c>
      <c r="F43" s="329">
        <v>27129360</v>
      </c>
      <c r="G43" s="329" t="s">
        <v>175</v>
      </c>
      <c r="H43" s="329" t="s">
        <v>382</v>
      </c>
      <c r="I43" s="354">
        <v>43228</v>
      </c>
      <c r="J43" s="355">
        <v>20</v>
      </c>
      <c r="K43" s="356">
        <v>25000</v>
      </c>
      <c r="L43" s="357">
        <v>15000</v>
      </c>
      <c r="M43" s="358">
        <v>2.5999999999999999E-2</v>
      </c>
      <c r="N43" s="388">
        <f t="shared" si="2"/>
        <v>20.000025999999998</v>
      </c>
      <c r="O43" s="329">
        <v>2.5000000000000001E-2</v>
      </c>
      <c r="P43" s="332">
        <f t="shared" si="4"/>
        <v>0.88957844095478944</v>
      </c>
      <c r="Q43" s="329" t="str">
        <f t="shared" si="3"/>
        <v>M-001</v>
      </c>
      <c r="R43" s="360" t="s">
        <v>292</v>
      </c>
      <c r="AS43" s="104"/>
    </row>
    <row r="44" spans="2:45" ht="30" customHeight="1" x14ac:dyDescent="0.2">
      <c r="B44" s="1081"/>
      <c r="C44" s="353" t="s">
        <v>468</v>
      </c>
      <c r="D44" s="329" t="s">
        <v>163</v>
      </c>
      <c r="E44" s="329" t="s">
        <v>148</v>
      </c>
      <c r="F44" s="329">
        <v>27129360</v>
      </c>
      <c r="G44" s="329" t="s">
        <v>177</v>
      </c>
      <c r="H44" s="329" t="s">
        <v>382</v>
      </c>
      <c r="I44" s="354">
        <v>43228</v>
      </c>
      <c r="J44" s="355">
        <v>20</v>
      </c>
      <c r="K44" s="356">
        <v>30000</v>
      </c>
      <c r="L44" s="357">
        <v>20000</v>
      </c>
      <c r="M44" s="358">
        <v>7.0000000000000001E-3</v>
      </c>
      <c r="N44" s="388">
        <f t="shared" si="2"/>
        <v>20.000007</v>
      </c>
      <c r="O44" s="329">
        <v>2.5000000000000001E-2</v>
      </c>
      <c r="P44" s="332">
        <f t="shared" si="4"/>
        <v>0.88957844095478944</v>
      </c>
      <c r="Q44" s="329" t="str">
        <f t="shared" si="3"/>
        <v>M-001</v>
      </c>
      <c r="R44" s="360" t="s">
        <v>292</v>
      </c>
      <c r="AS44" s="104"/>
    </row>
    <row r="45" spans="2:45" ht="30" customHeight="1" x14ac:dyDescent="0.2">
      <c r="B45" s="1081"/>
      <c r="C45" s="353" t="s">
        <v>178</v>
      </c>
      <c r="D45" s="329" t="s">
        <v>163</v>
      </c>
      <c r="E45" s="329" t="s">
        <v>148</v>
      </c>
      <c r="F45" s="329">
        <v>27129360</v>
      </c>
      <c r="G45" s="329" t="s">
        <v>179</v>
      </c>
      <c r="H45" s="329" t="s">
        <v>382</v>
      </c>
      <c r="I45" s="354">
        <v>43228</v>
      </c>
      <c r="J45" s="355">
        <v>50</v>
      </c>
      <c r="K45" s="356">
        <v>35000</v>
      </c>
      <c r="L45" s="357">
        <v>25000</v>
      </c>
      <c r="M45" s="358">
        <v>0.03</v>
      </c>
      <c r="N45" s="359">
        <f t="shared" si="2"/>
        <v>50.000030000000002</v>
      </c>
      <c r="O45" s="329">
        <v>0.03</v>
      </c>
      <c r="P45" s="332">
        <f t="shared" si="4"/>
        <v>0.88957844095478944</v>
      </c>
      <c r="Q45" s="329" t="str">
        <f t="shared" si="3"/>
        <v>M-001</v>
      </c>
      <c r="R45" s="360" t="s">
        <v>292</v>
      </c>
      <c r="AS45" s="104"/>
    </row>
    <row r="46" spans="2:45" ht="30" customHeight="1" x14ac:dyDescent="0.2">
      <c r="B46" s="1081"/>
      <c r="C46" s="353" t="s">
        <v>180</v>
      </c>
      <c r="D46" s="329" t="s">
        <v>163</v>
      </c>
      <c r="E46" s="329" t="s">
        <v>148</v>
      </c>
      <c r="F46" s="329">
        <v>27129360</v>
      </c>
      <c r="G46" s="329" t="s">
        <v>181</v>
      </c>
      <c r="H46" s="329" t="s">
        <v>382</v>
      </c>
      <c r="I46" s="354">
        <v>43228</v>
      </c>
      <c r="J46" s="355">
        <v>100</v>
      </c>
      <c r="K46" s="356">
        <v>40000</v>
      </c>
      <c r="L46" s="391">
        <v>35000</v>
      </c>
      <c r="M46" s="358">
        <v>0.06</v>
      </c>
      <c r="N46" s="359">
        <f t="shared" si="2"/>
        <v>100.00006</v>
      </c>
      <c r="O46" s="329">
        <v>0.05</v>
      </c>
      <c r="P46" s="332">
        <f t="shared" si="4"/>
        <v>0.88957844095478944</v>
      </c>
      <c r="Q46" s="329" t="str">
        <f t="shared" si="3"/>
        <v>M-001</v>
      </c>
      <c r="R46" s="360" t="s">
        <v>292</v>
      </c>
      <c r="AS46" s="104"/>
    </row>
    <row r="47" spans="2:45" ht="30" customHeight="1" x14ac:dyDescent="0.2">
      <c r="B47" s="1081"/>
      <c r="C47" s="353" t="s">
        <v>182</v>
      </c>
      <c r="D47" s="329" t="s">
        <v>163</v>
      </c>
      <c r="E47" s="329" t="s">
        <v>148</v>
      </c>
      <c r="F47" s="329">
        <v>27129360</v>
      </c>
      <c r="G47" s="329" t="s">
        <v>183</v>
      </c>
      <c r="H47" s="329" t="s">
        <v>382</v>
      </c>
      <c r="I47" s="354">
        <v>43228</v>
      </c>
      <c r="J47" s="355">
        <v>200</v>
      </c>
      <c r="K47" s="390"/>
      <c r="L47" s="391">
        <v>40000</v>
      </c>
      <c r="M47" s="358">
        <v>-7.0000000000000007E-2</v>
      </c>
      <c r="N47" s="359">
        <f t="shared" si="2"/>
        <v>199.99993000000001</v>
      </c>
      <c r="O47" s="334">
        <v>0.1</v>
      </c>
      <c r="P47" s="332">
        <f t="shared" si="4"/>
        <v>0.88957844095478944</v>
      </c>
      <c r="Q47" s="329" t="str">
        <f t="shared" si="3"/>
        <v>M-001</v>
      </c>
      <c r="R47" s="360" t="s">
        <v>292</v>
      </c>
      <c r="AS47" s="104"/>
    </row>
    <row r="48" spans="2:45" ht="30" customHeight="1" x14ac:dyDescent="0.2">
      <c r="B48" s="1081"/>
      <c r="C48" s="353" t="s">
        <v>469</v>
      </c>
      <c r="D48" s="329" t="s">
        <v>163</v>
      </c>
      <c r="E48" s="329" t="s">
        <v>148</v>
      </c>
      <c r="F48" s="329">
        <v>27129360</v>
      </c>
      <c r="G48" s="329" t="s">
        <v>185</v>
      </c>
      <c r="H48" s="329" t="s">
        <v>382</v>
      </c>
      <c r="I48" s="354">
        <v>43228</v>
      </c>
      <c r="J48" s="355">
        <v>200</v>
      </c>
      <c r="K48" s="390"/>
      <c r="L48" s="391">
        <v>45000</v>
      </c>
      <c r="M48" s="358">
        <v>0.15</v>
      </c>
      <c r="N48" s="359">
        <f t="shared" si="2"/>
        <v>200.00014999999999</v>
      </c>
      <c r="O48" s="334">
        <v>0.1</v>
      </c>
      <c r="P48" s="332">
        <f t="shared" si="4"/>
        <v>0.88957844095478944</v>
      </c>
      <c r="Q48" s="329" t="str">
        <f t="shared" si="3"/>
        <v>M-001</v>
      </c>
      <c r="R48" s="360" t="s">
        <v>292</v>
      </c>
      <c r="AS48" s="104"/>
    </row>
    <row r="49" spans="2:48" ht="30" customHeight="1" x14ac:dyDescent="0.2">
      <c r="B49" s="1081"/>
      <c r="C49" s="353" t="s">
        <v>186</v>
      </c>
      <c r="D49" s="329" t="s">
        <v>163</v>
      </c>
      <c r="E49" s="329" t="s">
        <v>148</v>
      </c>
      <c r="F49" s="329">
        <v>27129360</v>
      </c>
      <c r="G49" s="329" t="s">
        <v>187</v>
      </c>
      <c r="H49" s="329" t="s">
        <v>382</v>
      </c>
      <c r="I49" s="354">
        <v>43228</v>
      </c>
      <c r="J49" s="355">
        <v>500</v>
      </c>
      <c r="K49" s="390"/>
      <c r="L49" s="391">
        <v>50000</v>
      </c>
      <c r="M49" s="358">
        <v>0.33</v>
      </c>
      <c r="N49" s="359">
        <f t="shared" si="2"/>
        <v>500.00033000000002</v>
      </c>
      <c r="O49" s="329">
        <v>0.25</v>
      </c>
      <c r="P49" s="332">
        <f t="shared" si="4"/>
        <v>0.88957844095478944</v>
      </c>
      <c r="Q49" s="329" t="str">
        <f t="shared" si="3"/>
        <v>M-001</v>
      </c>
      <c r="R49" s="360" t="s">
        <v>292</v>
      </c>
      <c r="AS49" s="104"/>
    </row>
    <row r="50" spans="2:48" ht="30" customHeight="1" x14ac:dyDescent="0.2">
      <c r="B50" s="1081"/>
      <c r="C50" s="353" t="s">
        <v>188</v>
      </c>
      <c r="D50" s="329" t="s">
        <v>163</v>
      </c>
      <c r="E50" s="329" t="s">
        <v>148</v>
      </c>
      <c r="F50" s="329">
        <v>27129360</v>
      </c>
      <c r="G50" s="329" t="s">
        <v>189</v>
      </c>
      <c r="H50" s="329" t="s">
        <v>382</v>
      </c>
      <c r="I50" s="354">
        <v>43228</v>
      </c>
      <c r="J50" s="355">
        <v>1000</v>
      </c>
      <c r="K50" s="390"/>
      <c r="L50" s="391">
        <v>55000</v>
      </c>
      <c r="M50" s="358">
        <v>0.7</v>
      </c>
      <c r="N50" s="332">
        <f t="shared" si="2"/>
        <v>1000.0007000000001</v>
      </c>
      <c r="O50" s="329">
        <v>0.5</v>
      </c>
      <c r="P50" s="332">
        <f t="shared" si="4"/>
        <v>0.88957844095478944</v>
      </c>
      <c r="Q50" s="329" t="str">
        <f t="shared" si="3"/>
        <v>M-001</v>
      </c>
      <c r="R50" s="360" t="s">
        <v>292</v>
      </c>
      <c r="AS50" s="104"/>
    </row>
    <row r="51" spans="2:48" ht="30" customHeight="1" x14ac:dyDescent="0.2">
      <c r="B51" s="1081"/>
      <c r="C51" s="353" t="s">
        <v>190</v>
      </c>
      <c r="D51" s="329" t="s">
        <v>163</v>
      </c>
      <c r="E51" s="329" t="s">
        <v>148</v>
      </c>
      <c r="F51" s="329">
        <v>27129360</v>
      </c>
      <c r="G51" s="329" t="s">
        <v>191</v>
      </c>
      <c r="H51" s="329" t="s">
        <v>382</v>
      </c>
      <c r="I51" s="354">
        <v>43228</v>
      </c>
      <c r="J51" s="355">
        <v>2000</v>
      </c>
      <c r="K51" s="390"/>
      <c r="L51" s="391"/>
      <c r="M51" s="358">
        <v>1.1000000000000001</v>
      </c>
      <c r="N51" s="332">
        <f t="shared" si="2"/>
        <v>2000.0011</v>
      </c>
      <c r="O51" s="333">
        <v>1</v>
      </c>
      <c r="P51" s="332">
        <f t="shared" si="4"/>
        <v>0.88957844095478944</v>
      </c>
      <c r="Q51" s="329" t="str">
        <f t="shared" si="3"/>
        <v>M-001</v>
      </c>
      <c r="R51" s="360" t="s">
        <v>292</v>
      </c>
      <c r="AS51" s="104"/>
    </row>
    <row r="52" spans="2:48" ht="30" customHeight="1" x14ac:dyDescent="0.2">
      <c r="B52" s="1081"/>
      <c r="C52" s="353" t="s">
        <v>470</v>
      </c>
      <c r="D52" s="329" t="s">
        <v>163</v>
      </c>
      <c r="E52" s="329" t="s">
        <v>148</v>
      </c>
      <c r="F52" s="329">
        <v>27129360</v>
      </c>
      <c r="G52" s="329" t="s">
        <v>193</v>
      </c>
      <c r="H52" s="329" t="s">
        <v>382</v>
      </c>
      <c r="I52" s="354">
        <v>43228</v>
      </c>
      <c r="J52" s="355">
        <v>2000</v>
      </c>
      <c r="K52" s="392"/>
      <c r="L52" s="391"/>
      <c r="M52" s="393">
        <v>1</v>
      </c>
      <c r="N52" s="332">
        <f t="shared" si="2"/>
        <v>2000.001</v>
      </c>
      <c r="O52" s="333">
        <v>1</v>
      </c>
      <c r="P52" s="332">
        <f t="shared" si="4"/>
        <v>0.88957844095478944</v>
      </c>
      <c r="Q52" s="329" t="str">
        <f t="shared" si="3"/>
        <v>M-001</v>
      </c>
      <c r="R52" s="360" t="s">
        <v>292</v>
      </c>
      <c r="AS52" s="104"/>
    </row>
    <row r="53" spans="2:48" ht="30" customHeight="1" x14ac:dyDescent="0.2">
      <c r="B53" s="1081"/>
      <c r="C53" s="353" t="s">
        <v>194</v>
      </c>
      <c r="D53" s="329" t="s">
        <v>163</v>
      </c>
      <c r="E53" s="329" t="s">
        <v>148</v>
      </c>
      <c r="F53" s="329">
        <v>27129360</v>
      </c>
      <c r="G53" s="329" t="s">
        <v>195</v>
      </c>
      <c r="H53" s="329" t="s">
        <v>382</v>
      </c>
      <c r="I53" s="354">
        <v>43228</v>
      </c>
      <c r="J53" s="355">
        <v>5000</v>
      </c>
      <c r="K53" s="392"/>
      <c r="L53" s="394"/>
      <c r="M53" s="358">
        <v>3.5</v>
      </c>
      <c r="N53" s="332">
        <f t="shared" si="2"/>
        <v>5000.0034999999998</v>
      </c>
      <c r="O53" s="329">
        <v>2.5</v>
      </c>
      <c r="P53" s="332">
        <f t="shared" si="4"/>
        <v>0.88957844095478944</v>
      </c>
      <c r="Q53" s="329" t="str">
        <f t="shared" si="3"/>
        <v>M-001</v>
      </c>
      <c r="R53" s="360" t="s">
        <v>292</v>
      </c>
      <c r="AS53" s="104"/>
    </row>
    <row r="54" spans="2:48" ht="30" customHeight="1" thickBot="1" x14ac:dyDescent="0.25">
      <c r="B54" s="1082"/>
      <c r="C54" s="361" t="s">
        <v>196</v>
      </c>
      <c r="D54" s="340" t="s">
        <v>163</v>
      </c>
      <c r="E54" s="340" t="s">
        <v>148</v>
      </c>
      <c r="F54" s="340">
        <v>27129360</v>
      </c>
      <c r="G54" s="340" t="s">
        <v>197</v>
      </c>
      <c r="H54" s="340" t="s">
        <v>382</v>
      </c>
      <c r="I54" s="362">
        <v>43228</v>
      </c>
      <c r="J54" s="363">
        <v>10000</v>
      </c>
      <c r="K54" s="395"/>
      <c r="L54" s="396"/>
      <c r="M54" s="366">
        <v>8.1999999999999993</v>
      </c>
      <c r="N54" s="341">
        <f t="shared" si="2"/>
        <v>10000.0082</v>
      </c>
      <c r="O54" s="367">
        <v>5</v>
      </c>
      <c r="P54" s="341">
        <f t="shared" si="4"/>
        <v>0.88957844095478944</v>
      </c>
      <c r="Q54" s="340" t="str">
        <f t="shared" si="3"/>
        <v>M-001</v>
      </c>
      <c r="R54" s="368" t="s">
        <v>292</v>
      </c>
      <c r="AS54" s="104"/>
    </row>
    <row r="55" spans="2:48" ht="30" customHeight="1" x14ac:dyDescent="0.2">
      <c r="B55" s="1081" t="s">
        <v>400</v>
      </c>
      <c r="C55" s="342" t="s">
        <v>198</v>
      </c>
      <c r="D55" s="343" t="s">
        <v>199</v>
      </c>
      <c r="E55" s="343" t="s">
        <v>297</v>
      </c>
      <c r="F55" s="343">
        <v>11119515</v>
      </c>
      <c r="G55" s="343">
        <v>1</v>
      </c>
      <c r="H55" s="343" t="s">
        <v>416</v>
      </c>
      <c r="I55" s="344">
        <v>43252</v>
      </c>
      <c r="J55" s="345">
        <v>1</v>
      </c>
      <c r="K55" s="397"/>
      <c r="L55" s="398"/>
      <c r="M55" s="385">
        <v>0.04</v>
      </c>
      <c r="N55" s="399">
        <f t="shared" si="2"/>
        <v>1.00004</v>
      </c>
      <c r="O55" s="343">
        <v>0.03</v>
      </c>
      <c r="P55" s="351">
        <f>(0.34848*((750.7+754.5)/2)-0.009024*((52.2+58.7)/2)*EXP(0.0612*((20+20.6)/2)))/(273.15+((20+20.6)/2))</f>
        <v>0.88782702273489045</v>
      </c>
      <c r="Q55" s="343" t="s">
        <v>200</v>
      </c>
      <c r="R55" s="352" t="s">
        <v>292</v>
      </c>
      <c r="AS55" s="104"/>
      <c r="AT55" s="96"/>
      <c r="AU55" s="96"/>
    </row>
    <row r="56" spans="2:48" ht="30" customHeight="1" x14ac:dyDescent="0.2">
      <c r="B56" s="1081"/>
      <c r="C56" s="353" t="s">
        <v>201</v>
      </c>
      <c r="D56" s="329" t="s">
        <v>199</v>
      </c>
      <c r="E56" s="329" t="s">
        <v>297</v>
      </c>
      <c r="F56" s="329">
        <v>11119515</v>
      </c>
      <c r="G56" s="329" t="s">
        <v>203</v>
      </c>
      <c r="H56" s="329" t="s">
        <v>416</v>
      </c>
      <c r="I56" s="354">
        <v>43252</v>
      </c>
      <c r="J56" s="355">
        <v>2</v>
      </c>
      <c r="K56" s="392"/>
      <c r="L56" s="394"/>
      <c r="M56" s="358">
        <v>0.04</v>
      </c>
      <c r="N56" s="359">
        <f t="shared" si="2"/>
        <v>2.0000399999999998</v>
      </c>
      <c r="O56" s="329">
        <v>0.04</v>
      </c>
      <c r="P56" s="332">
        <f>(0.34848*((750.7+754.5)/2)-0.009024*((52.2+58.7)/2)*EXP(0.0612*((20+20.6)/2)))/(273.15+((20+20.6)/2))</f>
        <v>0.88782702273489045</v>
      </c>
      <c r="Q56" s="329" t="str">
        <f t="shared" ref="Q56:Q70" si="5">Q55</f>
        <v>M-002</v>
      </c>
      <c r="R56" s="360" t="s">
        <v>292</v>
      </c>
      <c r="AS56" s="104"/>
      <c r="AT56" s="96"/>
      <c r="AU56" s="96"/>
    </row>
    <row r="57" spans="2:48" ht="30" customHeight="1" x14ac:dyDescent="0.2">
      <c r="B57" s="1081"/>
      <c r="C57" s="353" t="s">
        <v>202</v>
      </c>
      <c r="D57" s="329" t="s">
        <v>199</v>
      </c>
      <c r="E57" s="329" t="s">
        <v>297</v>
      </c>
      <c r="F57" s="329">
        <v>11119515</v>
      </c>
      <c r="G57" s="329">
        <v>2</v>
      </c>
      <c r="H57" s="329" t="s">
        <v>416</v>
      </c>
      <c r="I57" s="354">
        <v>43252</v>
      </c>
      <c r="J57" s="355">
        <v>2</v>
      </c>
      <c r="K57" s="392"/>
      <c r="L57" s="394"/>
      <c r="M57" s="358">
        <v>0.06</v>
      </c>
      <c r="N57" s="359">
        <f t="shared" si="2"/>
        <v>2.0000599999999999</v>
      </c>
      <c r="O57" s="329">
        <v>0.04</v>
      </c>
      <c r="P57" s="332">
        <f t="shared" ref="P57:P70" si="6">(0.34848*((750.7+754.5)/2)-0.009024*((52.2+58.7)/2)*EXP(0.0612*((20+20.6)/2)))/(273.15+((20+20.6)/2))</f>
        <v>0.88782702273489045</v>
      </c>
      <c r="Q57" s="329" t="str">
        <f t="shared" si="5"/>
        <v>M-002</v>
      </c>
      <c r="R57" s="360" t="s">
        <v>292</v>
      </c>
      <c r="AS57" s="104"/>
      <c r="AT57" s="96"/>
      <c r="AU57" s="96"/>
    </row>
    <row r="58" spans="2:48" ht="30" customHeight="1" x14ac:dyDescent="0.2">
      <c r="B58" s="1081"/>
      <c r="C58" s="353" t="s">
        <v>204</v>
      </c>
      <c r="D58" s="329" t="s">
        <v>199</v>
      </c>
      <c r="E58" s="329" t="s">
        <v>297</v>
      </c>
      <c r="F58" s="329">
        <v>11119515</v>
      </c>
      <c r="G58" s="329">
        <v>5</v>
      </c>
      <c r="H58" s="329" t="s">
        <v>416</v>
      </c>
      <c r="I58" s="354">
        <v>43252</v>
      </c>
      <c r="J58" s="355">
        <v>5</v>
      </c>
      <c r="K58" s="392"/>
      <c r="L58" s="394"/>
      <c r="M58" s="400">
        <v>0.01</v>
      </c>
      <c r="N58" s="359">
        <f t="shared" si="2"/>
        <v>5.0000099999999996</v>
      </c>
      <c r="O58" s="329">
        <v>0.05</v>
      </c>
      <c r="P58" s="332">
        <f t="shared" si="6"/>
        <v>0.88782702273489045</v>
      </c>
      <c r="Q58" s="329" t="str">
        <f t="shared" si="5"/>
        <v>M-002</v>
      </c>
      <c r="R58" s="360" t="s">
        <v>292</v>
      </c>
      <c r="AS58" s="104"/>
      <c r="AT58" s="96"/>
      <c r="AU58" s="96"/>
    </row>
    <row r="59" spans="2:48" ht="30" customHeight="1" x14ac:dyDescent="0.2">
      <c r="B59" s="1081"/>
      <c r="C59" s="353" t="s">
        <v>206</v>
      </c>
      <c r="D59" s="329" t="s">
        <v>199</v>
      </c>
      <c r="E59" s="329" t="s">
        <v>297</v>
      </c>
      <c r="F59" s="329">
        <v>11119515</v>
      </c>
      <c r="G59" s="329">
        <v>10</v>
      </c>
      <c r="H59" s="329" t="s">
        <v>416</v>
      </c>
      <c r="I59" s="354">
        <v>43252</v>
      </c>
      <c r="J59" s="355">
        <v>10</v>
      </c>
      <c r="K59" s="392"/>
      <c r="L59" s="394"/>
      <c r="M59" s="358">
        <v>7.0000000000000007E-2</v>
      </c>
      <c r="N59" s="359">
        <f t="shared" si="2"/>
        <v>10.000069999999999</v>
      </c>
      <c r="O59" s="329">
        <v>0.06</v>
      </c>
      <c r="P59" s="332">
        <f t="shared" si="6"/>
        <v>0.88782702273489045</v>
      </c>
      <c r="Q59" s="329" t="str">
        <f t="shared" si="5"/>
        <v>M-002</v>
      </c>
      <c r="R59" s="360" t="s">
        <v>292</v>
      </c>
      <c r="AS59" s="104"/>
      <c r="AT59" s="96"/>
      <c r="AU59" s="96"/>
    </row>
    <row r="60" spans="2:48" ht="30" customHeight="1" x14ac:dyDescent="0.2">
      <c r="B60" s="1081"/>
      <c r="C60" s="353" t="s">
        <v>208</v>
      </c>
      <c r="D60" s="329" t="s">
        <v>199</v>
      </c>
      <c r="E60" s="329" t="s">
        <v>297</v>
      </c>
      <c r="F60" s="329">
        <v>11119515</v>
      </c>
      <c r="G60" s="329" t="s">
        <v>210</v>
      </c>
      <c r="H60" s="329" t="s">
        <v>416</v>
      </c>
      <c r="I60" s="354">
        <v>43252</v>
      </c>
      <c r="J60" s="355">
        <v>20</v>
      </c>
      <c r="K60" s="392"/>
      <c r="L60" s="394"/>
      <c r="M60" s="358">
        <v>0.08</v>
      </c>
      <c r="N60" s="359">
        <f t="shared" si="2"/>
        <v>20.000080000000001</v>
      </c>
      <c r="O60" s="329">
        <v>0.08</v>
      </c>
      <c r="P60" s="332">
        <f t="shared" si="6"/>
        <v>0.88782702273489045</v>
      </c>
      <c r="Q60" s="329" t="str">
        <f t="shared" si="5"/>
        <v>M-002</v>
      </c>
      <c r="R60" s="360" t="s">
        <v>292</v>
      </c>
      <c r="AS60" s="104"/>
      <c r="AT60" s="96"/>
      <c r="AU60" s="96"/>
    </row>
    <row r="61" spans="2:48" ht="30" customHeight="1" x14ac:dyDescent="0.2">
      <c r="B61" s="1081"/>
      <c r="C61" s="353" t="s">
        <v>209</v>
      </c>
      <c r="D61" s="329" t="s">
        <v>199</v>
      </c>
      <c r="E61" s="329" t="s">
        <v>297</v>
      </c>
      <c r="F61" s="329">
        <v>11119515</v>
      </c>
      <c r="G61" s="329">
        <v>20</v>
      </c>
      <c r="H61" s="329" t="s">
        <v>416</v>
      </c>
      <c r="I61" s="354">
        <v>43252</v>
      </c>
      <c r="J61" s="355">
        <v>20</v>
      </c>
      <c r="K61" s="392"/>
      <c r="L61" s="394"/>
      <c r="M61" s="358">
        <v>7.0000000000000007E-2</v>
      </c>
      <c r="N61" s="359">
        <f t="shared" si="2"/>
        <v>20.000070000000001</v>
      </c>
      <c r="O61" s="329">
        <v>0.08</v>
      </c>
      <c r="P61" s="332">
        <f t="shared" si="6"/>
        <v>0.88782702273489045</v>
      </c>
      <c r="Q61" s="329" t="str">
        <f t="shared" si="5"/>
        <v>M-002</v>
      </c>
      <c r="R61" s="360" t="s">
        <v>292</v>
      </c>
      <c r="AS61" s="104"/>
      <c r="AT61" s="96"/>
      <c r="AU61" s="96"/>
    </row>
    <row r="62" spans="2:48" ht="30" customHeight="1" x14ac:dyDescent="0.2">
      <c r="B62" s="1081"/>
      <c r="C62" s="353" t="s">
        <v>211</v>
      </c>
      <c r="D62" s="329" t="s">
        <v>199</v>
      </c>
      <c r="E62" s="329" t="s">
        <v>297</v>
      </c>
      <c r="F62" s="329">
        <v>11119515</v>
      </c>
      <c r="G62" s="329">
        <v>50</v>
      </c>
      <c r="H62" s="329" t="s">
        <v>416</v>
      </c>
      <c r="I62" s="354">
        <v>43252</v>
      </c>
      <c r="J62" s="355">
        <v>50</v>
      </c>
      <c r="K62" s="392"/>
      <c r="L62" s="394"/>
      <c r="M62" s="358">
        <v>0.13</v>
      </c>
      <c r="N62" s="359">
        <f t="shared" si="2"/>
        <v>50.000129999999999</v>
      </c>
      <c r="O62" s="334">
        <v>0.1</v>
      </c>
      <c r="P62" s="332">
        <f t="shared" si="6"/>
        <v>0.88782702273489045</v>
      </c>
      <c r="Q62" s="329" t="str">
        <f t="shared" si="5"/>
        <v>M-002</v>
      </c>
      <c r="R62" s="360" t="s">
        <v>292</v>
      </c>
      <c r="AS62" s="104"/>
      <c r="AT62" s="96"/>
      <c r="AU62" s="96"/>
    </row>
    <row r="63" spans="2:48" ht="30" customHeight="1" x14ac:dyDescent="0.2">
      <c r="B63" s="1081"/>
      <c r="C63" s="353" t="s">
        <v>212</v>
      </c>
      <c r="D63" s="329" t="s">
        <v>199</v>
      </c>
      <c r="E63" s="329" t="s">
        <v>297</v>
      </c>
      <c r="F63" s="329">
        <v>11119515</v>
      </c>
      <c r="G63" s="329">
        <v>100</v>
      </c>
      <c r="H63" s="329" t="s">
        <v>416</v>
      </c>
      <c r="I63" s="354">
        <v>43252</v>
      </c>
      <c r="J63" s="355">
        <v>100</v>
      </c>
      <c r="K63" s="392"/>
      <c r="L63" s="394"/>
      <c r="M63" s="358">
        <v>0.14000000000000001</v>
      </c>
      <c r="N63" s="359">
        <f t="shared" si="2"/>
        <v>100.00014</v>
      </c>
      <c r="O63" s="329">
        <v>0.16</v>
      </c>
      <c r="P63" s="332">
        <f t="shared" si="6"/>
        <v>0.88782702273489045</v>
      </c>
      <c r="Q63" s="329" t="str">
        <f t="shared" si="5"/>
        <v>M-002</v>
      </c>
      <c r="R63" s="360" t="s">
        <v>292</v>
      </c>
      <c r="AT63" s="104"/>
      <c r="AU63" s="96"/>
      <c r="AV63" s="96"/>
    </row>
    <row r="64" spans="2:48" ht="30" customHeight="1" x14ac:dyDescent="0.2">
      <c r="B64" s="1081"/>
      <c r="C64" s="353" t="s">
        <v>214</v>
      </c>
      <c r="D64" s="329" t="s">
        <v>199</v>
      </c>
      <c r="E64" s="329" t="s">
        <v>297</v>
      </c>
      <c r="F64" s="329">
        <v>11119515</v>
      </c>
      <c r="G64" s="329" t="s">
        <v>216</v>
      </c>
      <c r="H64" s="329" t="s">
        <v>416</v>
      </c>
      <c r="I64" s="354">
        <v>43252</v>
      </c>
      <c r="J64" s="355">
        <v>200</v>
      </c>
      <c r="K64" s="392"/>
      <c r="L64" s="394"/>
      <c r="M64" s="358">
        <v>0.3</v>
      </c>
      <c r="N64" s="332">
        <f t="shared" si="2"/>
        <v>200.00030000000001</v>
      </c>
      <c r="O64" s="329">
        <v>0.3</v>
      </c>
      <c r="P64" s="332">
        <f t="shared" si="6"/>
        <v>0.88782702273489045</v>
      </c>
      <c r="Q64" s="329" t="str">
        <f t="shared" si="5"/>
        <v>M-002</v>
      </c>
      <c r="R64" s="360" t="s">
        <v>292</v>
      </c>
      <c r="AT64" s="104"/>
      <c r="AU64" s="96"/>
      <c r="AV64" s="96"/>
    </row>
    <row r="65" spans="2:50" ht="30" customHeight="1" x14ac:dyDescent="0.2">
      <c r="B65" s="1081"/>
      <c r="C65" s="353" t="s">
        <v>215</v>
      </c>
      <c r="D65" s="329" t="s">
        <v>199</v>
      </c>
      <c r="E65" s="329" t="s">
        <v>297</v>
      </c>
      <c r="F65" s="329">
        <v>11119515</v>
      </c>
      <c r="G65" s="329">
        <v>200</v>
      </c>
      <c r="H65" s="329" t="s">
        <v>416</v>
      </c>
      <c r="I65" s="354">
        <v>43252</v>
      </c>
      <c r="J65" s="355">
        <v>200</v>
      </c>
      <c r="K65" s="392"/>
      <c r="L65" s="394"/>
      <c r="M65" s="358">
        <v>0.2</v>
      </c>
      <c r="N65" s="332">
        <f t="shared" si="2"/>
        <v>200.00020000000001</v>
      </c>
      <c r="O65" s="329">
        <v>0.3</v>
      </c>
      <c r="P65" s="332">
        <f t="shared" si="6"/>
        <v>0.88782702273489045</v>
      </c>
      <c r="Q65" s="329" t="str">
        <f t="shared" si="5"/>
        <v>M-002</v>
      </c>
      <c r="R65" s="360" t="s">
        <v>292</v>
      </c>
      <c r="AT65" s="104"/>
      <c r="AU65" s="96"/>
      <c r="AV65" s="96"/>
    </row>
    <row r="66" spans="2:50" ht="30" customHeight="1" x14ac:dyDescent="0.2">
      <c r="B66" s="1081"/>
      <c r="C66" s="353" t="s">
        <v>217</v>
      </c>
      <c r="D66" s="329" t="s">
        <v>199</v>
      </c>
      <c r="E66" s="329" t="s">
        <v>297</v>
      </c>
      <c r="F66" s="329">
        <v>11119515</v>
      </c>
      <c r="G66" s="329">
        <v>500</v>
      </c>
      <c r="H66" s="329" t="s">
        <v>416</v>
      </c>
      <c r="I66" s="354">
        <v>43252</v>
      </c>
      <c r="J66" s="355">
        <v>500</v>
      </c>
      <c r="K66" s="392"/>
      <c r="L66" s="394"/>
      <c r="M66" s="358">
        <v>0.8</v>
      </c>
      <c r="N66" s="332">
        <f t="shared" si="2"/>
        <v>500.00080000000003</v>
      </c>
      <c r="O66" s="329">
        <v>0.8</v>
      </c>
      <c r="P66" s="332">
        <f t="shared" si="6"/>
        <v>0.88782702273489045</v>
      </c>
      <c r="Q66" s="329" t="str">
        <f t="shared" si="5"/>
        <v>M-002</v>
      </c>
      <c r="R66" s="360" t="s">
        <v>292</v>
      </c>
      <c r="AI66" s="173"/>
      <c r="AJ66" s="173"/>
      <c r="AK66" s="173"/>
      <c r="AQ66" s="174"/>
      <c r="AR66" s="174"/>
      <c r="AS66" s="104"/>
      <c r="AT66" s="104"/>
      <c r="AU66" s="96"/>
      <c r="AV66" s="96"/>
    </row>
    <row r="67" spans="2:50" ht="30" customHeight="1" x14ac:dyDescent="0.2">
      <c r="B67" s="1081"/>
      <c r="C67" s="353" t="s">
        <v>218</v>
      </c>
      <c r="D67" s="329" t="s">
        <v>199</v>
      </c>
      <c r="E67" s="329" t="s">
        <v>297</v>
      </c>
      <c r="F67" s="329">
        <v>11119515</v>
      </c>
      <c r="G67" s="329">
        <v>1</v>
      </c>
      <c r="H67" s="329" t="s">
        <v>416</v>
      </c>
      <c r="I67" s="354">
        <v>43252</v>
      </c>
      <c r="J67" s="355">
        <v>1000</v>
      </c>
      <c r="K67" s="392"/>
      <c r="L67" s="391"/>
      <c r="M67" s="358">
        <v>1.9</v>
      </c>
      <c r="N67" s="332">
        <f t="shared" si="2"/>
        <v>1000.0019</v>
      </c>
      <c r="O67" s="329">
        <v>1.6</v>
      </c>
      <c r="P67" s="332">
        <f t="shared" si="6"/>
        <v>0.88782702273489045</v>
      </c>
      <c r="Q67" s="329" t="str">
        <f t="shared" si="5"/>
        <v>M-002</v>
      </c>
      <c r="R67" s="360" t="s">
        <v>292</v>
      </c>
      <c r="AI67" s="175"/>
      <c r="AJ67" s="175"/>
      <c r="AK67" s="175"/>
      <c r="AQ67" s="175"/>
      <c r="AR67" s="175"/>
      <c r="AS67" s="175"/>
      <c r="AT67" s="175"/>
      <c r="AU67" s="175"/>
      <c r="AV67" s="175"/>
      <c r="AW67" s="175"/>
      <c r="AX67" s="175"/>
    </row>
    <row r="68" spans="2:50" ht="30" customHeight="1" x14ac:dyDescent="0.2">
      <c r="B68" s="1081"/>
      <c r="C68" s="353" t="s">
        <v>219</v>
      </c>
      <c r="D68" s="329" t="s">
        <v>199</v>
      </c>
      <c r="E68" s="329" t="s">
        <v>297</v>
      </c>
      <c r="F68" s="329">
        <v>11119515</v>
      </c>
      <c r="G68" s="329" t="s">
        <v>203</v>
      </c>
      <c r="H68" s="329" t="s">
        <v>416</v>
      </c>
      <c r="I68" s="354">
        <v>43252</v>
      </c>
      <c r="J68" s="355">
        <v>2000</v>
      </c>
      <c r="K68" s="392"/>
      <c r="L68" s="391"/>
      <c r="M68" s="393">
        <v>1.9</v>
      </c>
      <c r="N68" s="332">
        <f t="shared" si="2"/>
        <v>2000.0019</v>
      </c>
      <c r="O68" s="333">
        <v>3</v>
      </c>
      <c r="P68" s="332">
        <f t="shared" si="6"/>
        <v>0.88782702273489045</v>
      </c>
      <c r="Q68" s="329" t="str">
        <f t="shared" si="5"/>
        <v>M-002</v>
      </c>
      <c r="R68" s="360" t="s">
        <v>292</v>
      </c>
      <c r="AE68" s="175"/>
      <c r="AF68" s="175"/>
      <c r="AG68" s="175"/>
      <c r="AH68" s="175"/>
      <c r="AI68" s="175"/>
      <c r="AJ68" s="175"/>
      <c r="AK68" s="175"/>
      <c r="AQ68" s="175"/>
      <c r="AR68" s="175"/>
      <c r="AS68" s="175"/>
      <c r="AT68" s="175"/>
      <c r="AU68" s="175"/>
      <c r="AV68" s="175"/>
      <c r="AW68" s="175"/>
      <c r="AX68" s="175"/>
    </row>
    <row r="69" spans="2:50" ht="30" customHeight="1" x14ac:dyDescent="0.2">
      <c r="B69" s="1081"/>
      <c r="C69" s="353" t="s">
        <v>220</v>
      </c>
      <c r="D69" s="329" t="s">
        <v>199</v>
      </c>
      <c r="E69" s="329" t="s">
        <v>297</v>
      </c>
      <c r="F69" s="329">
        <v>11119515</v>
      </c>
      <c r="G69" s="329">
        <v>2</v>
      </c>
      <c r="H69" s="329" t="s">
        <v>416</v>
      </c>
      <c r="I69" s="354">
        <v>43252</v>
      </c>
      <c r="J69" s="355">
        <v>2000</v>
      </c>
      <c r="K69" s="392"/>
      <c r="L69" s="391"/>
      <c r="M69" s="393">
        <v>2.1</v>
      </c>
      <c r="N69" s="332">
        <f t="shared" si="2"/>
        <v>2000.0020999999999</v>
      </c>
      <c r="O69" s="333">
        <v>3</v>
      </c>
      <c r="P69" s="332">
        <f t="shared" si="6"/>
        <v>0.88782702273489045</v>
      </c>
      <c r="Q69" s="329" t="str">
        <f t="shared" si="5"/>
        <v>M-002</v>
      </c>
      <c r="R69" s="360" t="s">
        <v>292</v>
      </c>
      <c r="S69" s="95"/>
      <c r="T69" s="95"/>
      <c r="U69" s="95"/>
      <c r="V69" s="95"/>
      <c r="W69" s="95"/>
      <c r="X69" s="9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Q69" s="175"/>
      <c r="AR69" s="175"/>
      <c r="AS69" s="175"/>
      <c r="AT69" s="175"/>
      <c r="AU69" s="175"/>
      <c r="AV69" s="175"/>
      <c r="AW69" s="175"/>
      <c r="AX69" s="175"/>
    </row>
    <row r="70" spans="2:50" ht="30" customHeight="1" thickBot="1" x14ac:dyDescent="0.25">
      <c r="B70" s="1082"/>
      <c r="C70" s="361" t="s">
        <v>221</v>
      </c>
      <c r="D70" s="340" t="s">
        <v>199</v>
      </c>
      <c r="E70" s="340" t="s">
        <v>297</v>
      </c>
      <c r="F70" s="340">
        <v>11119515</v>
      </c>
      <c r="G70" s="340">
        <v>5</v>
      </c>
      <c r="H70" s="340" t="s">
        <v>416</v>
      </c>
      <c r="I70" s="362">
        <v>43252</v>
      </c>
      <c r="J70" s="363">
        <v>5000</v>
      </c>
      <c r="K70" s="395"/>
      <c r="L70" s="401"/>
      <c r="M70" s="366">
        <v>5.8</v>
      </c>
      <c r="N70" s="341">
        <f t="shared" si="2"/>
        <v>5000.0057999999999</v>
      </c>
      <c r="O70" s="367">
        <v>8</v>
      </c>
      <c r="P70" s="341">
        <f t="shared" si="6"/>
        <v>0.88782702273489045</v>
      </c>
      <c r="Q70" s="340" t="str">
        <f t="shared" si="5"/>
        <v>M-002</v>
      </c>
      <c r="R70" s="368" t="s">
        <v>292</v>
      </c>
      <c r="S70" s="95"/>
      <c r="T70" s="95"/>
      <c r="U70" s="95"/>
      <c r="V70" s="95"/>
      <c r="W70" s="95"/>
      <c r="X70" s="9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Q70" s="175"/>
      <c r="AR70" s="175"/>
      <c r="AS70" s="175"/>
      <c r="AT70" s="175"/>
      <c r="AU70" s="175"/>
      <c r="AV70" s="175"/>
      <c r="AW70" s="175"/>
      <c r="AX70" s="175"/>
    </row>
    <row r="71" spans="2:50" ht="30" customHeight="1" thickBot="1" x14ac:dyDescent="0.25">
      <c r="B71" s="407" t="s">
        <v>401</v>
      </c>
      <c r="C71" s="729" t="s">
        <v>222</v>
      </c>
      <c r="D71" s="730" t="s">
        <v>199</v>
      </c>
      <c r="E71" s="730" t="s">
        <v>297</v>
      </c>
      <c r="F71" s="730">
        <v>11119467</v>
      </c>
      <c r="G71" s="730">
        <v>10</v>
      </c>
      <c r="H71" s="730" t="s">
        <v>383</v>
      </c>
      <c r="I71" s="731">
        <v>43234</v>
      </c>
      <c r="J71" s="732">
        <v>10000</v>
      </c>
      <c r="K71" s="733"/>
      <c r="L71" s="734"/>
      <c r="M71" s="735">
        <v>7</v>
      </c>
      <c r="N71" s="736">
        <f t="shared" si="2"/>
        <v>10000.007</v>
      </c>
      <c r="O71" s="730">
        <v>16</v>
      </c>
      <c r="P71" s="737">
        <f>(0.34848*((752.6+754.6)/2)-0.009024*((54.2+56.2)/2)*EXP(0.0612*((20+20.2)/2)))/(273.15+((20+20.2)/2))</f>
        <v>0.88971909362420276</v>
      </c>
      <c r="Q71" s="730" t="s">
        <v>223</v>
      </c>
      <c r="R71" s="738" t="s">
        <v>292</v>
      </c>
      <c r="S71" s="95"/>
      <c r="T71" s="95"/>
      <c r="U71" s="95"/>
      <c r="V71" s="95"/>
      <c r="W71" s="95"/>
      <c r="X71" s="9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Q71" s="175"/>
      <c r="AR71" s="175"/>
      <c r="AS71" s="175"/>
      <c r="AT71" s="175"/>
      <c r="AU71" s="175"/>
      <c r="AV71" s="175"/>
      <c r="AW71" s="175"/>
      <c r="AX71" s="175"/>
    </row>
    <row r="72" spans="2:50" ht="30" customHeight="1" thickBot="1" x14ac:dyDescent="0.25">
      <c r="B72" s="715" t="s">
        <v>401</v>
      </c>
      <c r="C72" s="739" t="s">
        <v>224</v>
      </c>
      <c r="D72" s="740" t="s">
        <v>199</v>
      </c>
      <c r="E72" s="740" t="s">
        <v>297</v>
      </c>
      <c r="F72" s="740">
        <v>11119468</v>
      </c>
      <c r="G72" s="740">
        <v>20</v>
      </c>
      <c r="H72" s="740" t="s">
        <v>384</v>
      </c>
      <c r="I72" s="741">
        <v>43230</v>
      </c>
      <c r="J72" s="742">
        <v>20000</v>
      </c>
      <c r="K72" s="743"/>
      <c r="L72" s="744"/>
      <c r="M72" s="745">
        <v>0</v>
      </c>
      <c r="N72" s="746">
        <f t="shared" si="2"/>
        <v>20000</v>
      </c>
      <c r="O72" s="740">
        <v>30</v>
      </c>
      <c r="P72" s="747">
        <f>(0.34848*((753.6+753.8)/2)-0.009024*((49.3+49.6)/2)*EXP(0.0612*((21.3+21.4)/2)))/(273.15+((21.3+21.4)/2))</f>
        <v>0.88625169920254576</v>
      </c>
      <c r="Q72" s="740" t="s">
        <v>225</v>
      </c>
      <c r="R72" s="748" t="s">
        <v>292</v>
      </c>
      <c r="S72" s="95"/>
      <c r="T72" s="95"/>
      <c r="U72" s="95"/>
      <c r="V72" s="95"/>
      <c r="W72" s="95"/>
      <c r="X72" s="9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Q72" s="175"/>
      <c r="AR72" s="175"/>
      <c r="AS72" s="175"/>
      <c r="AT72" s="175"/>
      <c r="AU72" s="175"/>
      <c r="AV72" s="175"/>
      <c r="AW72" s="175"/>
      <c r="AX72" s="175"/>
    </row>
    <row r="73" spans="2:50" ht="30" customHeight="1" x14ac:dyDescent="0.2">
      <c r="B73" s="1078" t="s">
        <v>402</v>
      </c>
      <c r="C73" s="369" t="s">
        <v>226</v>
      </c>
      <c r="D73" s="370" t="s">
        <v>199</v>
      </c>
      <c r="E73" s="370" t="s">
        <v>227</v>
      </c>
      <c r="F73" s="370" t="s">
        <v>298</v>
      </c>
      <c r="G73" s="370" t="s">
        <v>229</v>
      </c>
      <c r="H73" s="370" t="s">
        <v>385</v>
      </c>
      <c r="I73" s="371">
        <v>43228</v>
      </c>
      <c r="J73" s="372">
        <v>1</v>
      </c>
      <c r="K73" s="402"/>
      <c r="L73" s="403"/>
      <c r="M73" s="404">
        <v>0.04</v>
      </c>
      <c r="N73" s="405">
        <f t="shared" si="2"/>
        <v>1.00004</v>
      </c>
      <c r="O73" s="406">
        <v>3.3000000000000002E-2</v>
      </c>
      <c r="P73" s="376">
        <f>(0.34848*((751.2+755.7)/2)-0.009024*((48.4+57.9)/2)*EXP(0.0612*((19.5+20.7)/2)))/(273.15+((19.5+20.7)/2))</f>
        <v>0.88975669159417592</v>
      </c>
      <c r="Q73" s="370" t="s">
        <v>231</v>
      </c>
      <c r="R73" s="377" t="s">
        <v>292</v>
      </c>
      <c r="S73" s="95"/>
      <c r="T73" s="95"/>
      <c r="U73" s="95"/>
      <c r="V73" s="95"/>
      <c r="W73" s="95"/>
      <c r="X73" s="9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</row>
    <row r="74" spans="2:50" ht="30" customHeight="1" x14ac:dyDescent="0.2">
      <c r="B74" s="1079"/>
      <c r="C74" s="353" t="s">
        <v>232</v>
      </c>
      <c r="D74" s="329" t="s">
        <v>199</v>
      </c>
      <c r="E74" s="329" t="s">
        <v>227</v>
      </c>
      <c r="F74" s="329" t="s">
        <v>298</v>
      </c>
      <c r="G74" s="329" t="s">
        <v>229</v>
      </c>
      <c r="H74" s="329" t="s">
        <v>385</v>
      </c>
      <c r="I74" s="354">
        <v>43228</v>
      </c>
      <c r="J74" s="355">
        <v>2</v>
      </c>
      <c r="K74" s="392"/>
      <c r="L74" s="391"/>
      <c r="M74" s="400">
        <v>0.04</v>
      </c>
      <c r="N74" s="359">
        <f t="shared" si="2"/>
        <v>2.0000399999999998</v>
      </c>
      <c r="O74" s="334">
        <v>0.04</v>
      </c>
      <c r="P74" s="332">
        <f t="shared" ref="P74:P88" si="7">(0.34848*((751.2+755.7)/2)-0.009024*((48.4+57.9)/2)*EXP(0.0612*((19.5+20.7)/2)))/(273.15+((19.5+20.7)/2))</f>
        <v>0.88975669159417592</v>
      </c>
      <c r="Q74" s="329" t="str">
        <f>Q73</f>
        <v>M-016</v>
      </c>
      <c r="R74" s="360" t="s">
        <v>292</v>
      </c>
      <c r="S74" s="95"/>
      <c r="T74" s="95"/>
      <c r="U74" s="95"/>
      <c r="V74" s="95"/>
      <c r="W74" s="95"/>
      <c r="X74" s="9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</row>
    <row r="75" spans="2:50" ht="30" customHeight="1" x14ac:dyDescent="0.2">
      <c r="B75" s="1079"/>
      <c r="C75" s="353" t="s">
        <v>233</v>
      </c>
      <c r="D75" s="329" t="s">
        <v>199</v>
      </c>
      <c r="E75" s="329" t="s">
        <v>227</v>
      </c>
      <c r="F75" s="329" t="s">
        <v>298</v>
      </c>
      <c r="G75" s="329" t="s">
        <v>234</v>
      </c>
      <c r="H75" s="329" t="s">
        <v>385</v>
      </c>
      <c r="I75" s="354">
        <v>43228</v>
      </c>
      <c r="J75" s="355">
        <v>2</v>
      </c>
      <c r="K75" s="392"/>
      <c r="L75" s="391"/>
      <c r="M75" s="358">
        <v>0.05</v>
      </c>
      <c r="N75" s="388">
        <f t="shared" si="2"/>
        <v>2.0000499999999999</v>
      </c>
      <c r="O75" s="334">
        <v>0.04</v>
      </c>
      <c r="P75" s="332">
        <f t="shared" si="7"/>
        <v>0.88975669159417592</v>
      </c>
      <c r="Q75" s="329" t="str">
        <f t="shared" ref="Q75:Q88" si="8">Q74</f>
        <v>M-016</v>
      </c>
      <c r="R75" s="360" t="s">
        <v>292</v>
      </c>
      <c r="U75" s="95"/>
      <c r="V75" s="95"/>
      <c r="W75" s="95"/>
      <c r="X75" s="9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</row>
    <row r="76" spans="2:50" ht="30" customHeight="1" x14ac:dyDescent="0.2">
      <c r="B76" s="1079"/>
      <c r="C76" s="353" t="s">
        <v>235</v>
      </c>
      <c r="D76" s="329" t="s">
        <v>199</v>
      </c>
      <c r="E76" s="329" t="s">
        <v>227</v>
      </c>
      <c r="F76" s="329" t="s">
        <v>298</v>
      </c>
      <c r="G76" s="329" t="s">
        <v>229</v>
      </c>
      <c r="H76" s="329" t="s">
        <v>385</v>
      </c>
      <c r="I76" s="354">
        <v>43228</v>
      </c>
      <c r="J76" s="355">
        <v>5</v>
      </c>
      <c r="K76" s="392"/>
      <c r="L76" s="391"/>
      <c r="M76" s="358">
        <v>7.0000000000000007E-2</v>
      </c>
      <c r="N76" s="388">
        <f t="shared" si="2"/>
        <v>5.00007</v>
      </c>
      <c r="O76" s="334">
        <v>5.2999999999999999E-2</v>
      </c>
      <c r="P76" s="332">
        <f t="shared" si="7"/>
        <v>0.88975669159417592</v>
      </c>
      <c r="Q76" s="329" t="str">
        <f t="shared" si="8"/>
        <v>M-016</v>
      </c>
      <c r="R76" s="360" t="s">
        <v>292</v>
      </c>
      <c r="U76" s="95"/>
      <c r="V76" s="95"/>
      <c r="W76" s="95"/>
      <c r="X76" s="9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</row>
    <row r="77" spans="2:50" ht="30" customHeight="1" x14ac:dyDescent="0.2">
      <c r="B77" s="1079"/>
      <c r="C77" s="353" t="s">
        <v>236</v>
      </c>
      <c r="D77" s="329" t="s">
        <v>199</v>
      </c>
      <c r="E77" s="329" t="s">
        <v>227</v>
      </c>
      <c r="F77" s="329" t="s">
        <v>298</v>
      </c>
      <c r="G77" s="329" t="s">
        <v>229</v>
      </c>
      <c r="H77" s="329" t="s">
        <v>385</v>
      </c>
      <c r="I77" s="354">
        <v>43228</v>
      </c>
      <c r="J77" s="355">
        <v>10</v>
      </c>
      <c r="K77" s="392"/>
      <c r="L77" s="391"/>
      <c r="M77" s="358">
        <v>0.09</v>
      </c>
      <c r="N77" s="388">
        <f t="shared" si="2"/>
        <v>10.00009</v>
      </c>
      <c r="O77" s="334">
        <v>0.06</v>
      </c>
      <c r="P77" s="332">
        <f t="shared" si="7"/>
        <v>0.88975669159417592</v>
      </c>
      <c r="Q77" s="329" t="str">
        <f t="shared" si="8"/>
        <v>M-016</v>
      </c>
      <c r="R77" s="360" t="s">
        <v>292</v>
      </c>
      <c r="U77" s="95"/>
      <c r="V77" s="95"/>
      <c r="W77" s="95"/>
      <c r="X77" s="95"/>
      <c r="Y77" s="95"/>
      <c r="Z77" s="9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</row>
    <row r="78" spans="2:50" ht="30" customHeight="1" x14ac:dyDescent="0.2">
      <c r="B78" s="1079"/>
      <c r="C78" s="353" t="s">
        <v>237</v>
      </c>
      <c r="D78" s="329" t="s">
        <v>199</v>
      </c>
      <c r="E78" s="329" t="s">
        <v>227</v>
      </c>
      <c r="F78" s="329" t="s">
        <v>298</v>
      </c>
      <c r="G78" s="329" t="s">
        <v>229</v>
      </c>
      <c r="H78" s="329" t="s">
        <v>385</v>
      </c>
      <c r="I78" s="354">
        <v>43228</v>
      </c>
      <c r="J78" s="355">
        <v>20</v>
      </c>
      <c r="K78" s="392"/>
      <c r="L78" s="391"/>
      <c r="M78" s="358">
        <v>0.11</v>
      </c>
      <c r="N78" s="388">
        <f t="shared" si="2"/>
        <v>20.000109999999999</v>
      </c>
      <c r="O78" s="334">
        <v>8.3000000000000004E-2</v>
      </c>
      <c r="P78" s="332">
        <f t="shared" si="7"/>
        <v>0.88975669159417592</v>
      </c>
      <c r="Q78" s="329" t="str">
        <f t="shared" si="8"/>
        <v>M-016</v>
      </c>
      <c r="R78" s="360" t="s">
        <v>292</v>
      </c>
      <c r="U78" s="95"/>
      <c r="V78" s="95"/>
      <c r="W78" s="95"/>
      <c r="X78" s="95"/>
      <c r="Y78" s="95"/>
      <c r="Z78" s="9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</row>
    <row r="79" spans="2:50" ht="30" customHeight="1" x14ac:dyDescent="0.2">
      <c r="B79" s="1079"/>
      <c r="C79" s="353" t="s">
        <v>238</v>
      </c>
      <c r="D79" s="329" t="s">
        <v>199</v>
      </c>
      <c r="E79" s="329" t="s">
        <v>227</v>
      </c>
      <c r="F79" s="329" t="s">
        <v>298</v>
      </c>
      <c r="G79" s="329" t="s">
        <v>234</v>
      </c>
      <c r="H79" s="329" t="s">
        <v>385</v>
      </c>
      <c r="I79" s="354">
        <v>43228</v>
      </c>
      <c r="J79" s="355">
        <v>20</v>
      </c>
      <c r="K79" s="392"/>
      <c r="L79" s="391"/>
      <c r="M79" s="400">
        <v>0.1</v>
      </c>
      <c r="N79" s="388">
        <f t="shared" si="2"/>
        <v>20.0001</v>
      </c>
      <c r="O79" s="334">
        <v>8.3000000000000004E-2</v>
      </c>
      <c r="P79" s="332">
        <f t="shared" si="7"/>
        <v>0.88975669159417592</v>
      </c>
      <c r="Q79" s="329" t="str">
        <f t="shared" si="8"/>
        <v>M-016</v>
      </c>
      <c r="R79" s="360" t="s">
        <v>292</v>
      </c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</row>
    <row r="80" spans="2:50" ht="30" customHeight="1" x14ac:dyDescent="0.2">
      <c r="B80" s="1079"/>
      <c r="C80" s="353" t="s">
        <v>239</v>
      </c>
      <c r="D80" s="329" t="s">
        <v>199</v>
      </c>
      <c r="E80" s="329" t="s">
        <v>227</v>
      </c>
      <c r="F80" s="329" t="s">
        <v>298</v>
      </c>
      <c r="G80" s="329" t="s">
        <v>229</v>
      </c>
      <c r="H80" s="329" t="s">
        <v>385</v>
      </c>
      <c r="I80" s="354">
        <v>43228</v>
      </c>
      <c r="J80" s="355">
        <v>50</v>
      </c>
      <c r="K80" s="392"/>
      <c r="L80" s="391"/>
      <c r="M80" s="400">
        <v>0.1</v>
      </c>
      <c r="N80" s="359">
        <f t="shared" si="2"/>
        <v>50.000100000000003</v>
      </c>
      <c r="O80" s="334">
        <v>0.1</v>
      </c>
      <c r="P80" s="332">
        <f t="shared" si="7"/>
        <v>0.88975669159417592</v>
      </c>
      <c r="Q80" s="329" t="str">
        <f t="shared" si="8"/>
        <v>M-016</v>
      </c>
      <c r="R80" s="360" t="s">
        <v>292</v>
      </c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</row>
    <row r="81" spans="2:50" ht="30" customHeight="1" x14ac:dyDescent="0.2">
      <c r="B81" s="1079"/>
      <c r="C81" s="353" t="s">
        <v>240</v>
      </c>
      <c r="D81" s="329" t="s">
        <v>199</v>
      </c>
      <c r="E81" s="329" t="s">
        <v>227</v>
      </c>
      <c r="F81" s="329" t="s">
        <v>298</v>
      </c>
      <c r="G81" s="329" t="s">
        <v>229</v>
      </c>
      <c r="H81" s="329" t="s">
        <v>385</v>
      </c>
      <c r="I81" s="354">
        <v>43228</v>
      </c>
      <c r="J81" s="355">
        <v>100</v>
      </c>
      <c r="K81" s="392"/>
      <c r="L81" s="391"/>
      <c r="M81" s="358">
        <v>0.12</v>
      </c>
      <c r="N81" s="359">
        <f t="shared" si="2"/>
        <v>100.00012</v>
      </c>
      <c r="O81" s="329">
        <v>0.16</v>
      </c>
      <c r="P81" s="332">
        <f t="shared" si="7"/>
        <v>0.88975669159417592</v>
      </c>
      <c r="Q81" s="329" t="str">
        <f t="shared" si="8"/>
        <v>M-016</v>
      </c>
      <c r="R81" s="360" t="s">
        <v>292</v>
      </c>
      <c r="U81" s="95"/>
      <c r="V81" s="95"/>
      <c r="W81" s="95"/>
      <c r="X81" s="95"/>
      <c r="Y81" s="95"/>
      <c r="Z81" s="9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V81" s="175"/>
      <c r="AW81" s="175"/>
      <c r="AX81" s="175"/>
    </row>
    <row r="82" spans="2:50" ht="30" customHeight="1" x14ac:dyDescent="0.2">
      <c r="B82" s="1079"/>
      <c r="C82" s="353" t="s">
        <v>241</v>
      </c>
      <c r="D82" s="329" t="s">
        <v>199</v>
      </c>
      <c r="E82" s="329" t="s">
        <v>227</v>
      </c>
      <c r="F82" s="329" t="s">
        <v>298</v>
      </c>
      <c r="G82" s="329" t="s">
        <v>229</v>
      </c>
      <c r="H82" s="329" t="s">
        <v>385</v>
      </c>
      <c r="I82" s="354">
        <v>43228</v>
      </c>
      <c r="J82" s="355">
        <v>200</v>
      </c>
      <c r="K82" s="392"/>
      <c r="L82" s="391"/>
      <c r="M82" s="358">
        <v>0.3</v>
      </c>
      <c r="N82" s="359">
        <f t="shared" si="2"/>
        <v>200.00030000000001</v>
      </c>
      <c r="O82" s="333">
        <v>0.33</v>
      </c>
      <c r="P82" s="332">
        <f t="shared" si="7"/>
        <v>0.88975669159417592</v>
      </c>
      <c r="Q82" s="329" t="str">
        <f t="shared" si="8"/>
        <v>M-016</v>
      </c>
      <c r="R82" s="360" t="s">
        <v>292</v>
      </c>
      <c r="U82" s="95"/>
      <c r="V82" s="95"/>
      <c r="W82" s="95"/>
      <c r="X82" s="95"/>
      <c r="Y82" s="95"/>
      <c r="Z82" s="9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V82" s="175"/>
      <c r="AW82" s="175"/>
      <c r="AX82" s="175"/>
    </row>
    <row r="83" spans="2:50" ht="30" customHeight="1" x14ac:dyDescent="0.2">
      <c r="B83" s="1079"/>
      <c r="C83" s="353" t="s">
        <v>242</v>
      </c>
      <c r="D83" s="329" t="s">
        <v>199</v>
      </c>
      <c r="E83" s="329" t="s">
        <v>227</v>
      </c>
      <c r="F83" s="329" t="s">
        <v>298</v>
      </c>
      <c r="G83" s="329" t="s">
        <v>234</v>
      </c>
      <c r="H83" s="329" t="s">
        <v>385</v>
      </c>
      <c r="I83" s="354">
        <v>43228</v>
      </c>
      <c r="J83" s="355">
        <v>200</v>
      </c>
      <c r="K83" s="392"/>
      <c r="L83" s="391"/>
      <c r="M83" s="358">
        <v>0.4</v>
      </c>
      <c r="N83" s="359">
        <f t="shared" si="2"/>
        <v>200.00040000000001</v>
      </c>
      <c r="O83" s="333">
        <v>0.33</v>
      </c>
      <c r="P83" s="332">
        <f t="shared" si="7"/>
        <v>0.88975669159417592</v>
      </c>
      <c r="Q83" s="329" t="str">
        <f t="shared" si="8"/>
        <v>M-016</v>
      </c>
      <c r="R83" s="360" t="s">
        <v>292</v>
      </c>
      <c r="U83" s="95"/>
      <c r="V83" s="95"/>
      <c r="W83" s="95"/>
      <c r="X83" s="95"/>
      <c r="Y83" s="95"/>
      <c r="Z83" s="9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V83" s="175"/>
      <c r="AW83" s="175"/>
      <c r="AX83" s="175"/>
    </row>
    <row r="84" spans="2:50" ht="30" customHeight="1" x14ac:dyDescent="0.2">
      <c r="B84" s="1079"/>
      <c r="C84" s="353" t="s">
        <v>243</v>
      </c>
      <c r="D84" s="329" t="s">
        <v>199</v>
      </c>
      <c r="E84" s="329" t="s">
        <v>227</v>
      </c>
      <c r="F84" s="329" t="s">
        <v>298</v>
      </c>
      <c r="G84" s="329" t="s">
        <v>229</v>
      </c>
      <c r="H84" s="329" t="s">
        <v>385</v>
      </c>
      <c r="I84" s="354">
        <v>43228</v>
      </c>
      <c r="J84" s="355">
        <v>500</v>
      </c>
      <c r="K84" s="392"/>
      <c r="L84" s="391"/>
      <c r="M84" s="358">
        <v>0.9</v>
      </c>
      <c r="N84" s="359">
        <f t="shared" si="2"/>
        <v>500.0009</v>
      </c>
      <c r="O84" s="333">
        <v>0.83</v>
      </c>
      <c r="P84" s="332">
        <f t="shared" si="7"/>
        <v>0.88975669159417592</v>
      </c>
      <c r="Q84" s="329" t="str">
        <f t="shared" si="8"/>
        <v>M-016</v>
      </c>
      <c r="R84" s="360" t="s">
        <v>292</v>
      </c>
      <c r="S84" s="95"/>
      <c r="T84" s="95"/>
      <c r="U84" s="95"/>
      <c r="V84" s="95"/>
      <c r="W84" s="95"/>
      <c r="X84" s="95"/>
      <c r="Y84" s="95"/>
      <c r="Z84" s="9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V84" s="175"/>
      <c r="AW84" s="175"/>
      <c r="AX84" s="175"/>
    </row>
    <row r="85" spans="2:50" ht="30" customHeight="1" x14ac:dyDescent="0.2">
      <c r="B85" s="1079"/>
      <c r="C85" s="353" t="s">
        <v>244</v>
      </c>
      <c r="D85" s="329" t="s">
        <v>199</v>
      </c>
      <c r="E85" s="329" t="s">
        <v>227</v>
      </c>
      <c r="F85" s="329" t="s">
        <v>298</v>
      </c>
      <c r="G85" s="329" t="s">
        <v>229</v>
      </c>
      <c r="H85" s="329" t="s">
        <v>385</v>
      </c>
      <c r="I85" s="354">
        <v>43228</v>
      </c>
      <c r="J85" s="355">
        <v>1000</v>
      </c>
      <c r="K85" s="392"/>
      <c r="L85" s="391"/>
      <c r="M85" s="393">
        <v>-0.5</v>
      </c>
      <c r="N85" s="332">
        <f t="shared" si="2"/>
        <v>999.99950000000001</v>
      </c>
      <c r="O85" s="329">
        <v>1.6</v>
      </c>
      <c r="P85" s="332">
        <f t="shared" si="7"/>
        <v>0.88975669159417592</v>
      </c>
      <c r="Q85" s="329" t="str">
        <f t="shared" si="8"/>
        <v>M-016</v>
      </c>
      <c r="R85" s="360" t="s">
        <v>292</v>
      </c>
      <c r="S85" s="95"/>
      <c r="T85" s="95"/>
      <c r="U85" s="95"/>
      <c r="V85" s="95"/>
      <c r="W85" s="95"/>
      <c r="X85" s="95"/>
      <c r="Y85" s="95"/>
      <c r="Z85" s="9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V85" s="175"/>
      <c r="AW85" s="175"/>
      <c r="AX85" s="175"/>
    </row>
    <row r="86" spans="2:50" ht="30" customHeight="1" x14ac:dyDescent="0.2">
      <c r="B86" s="1079"/>
      <c r="C86" s="353" t="s">
        <v>245</v>
      </c>
      <c r="D86" s="329" t="s">
        <v>199</v>
      </c>
      <c r="E86" s="329" t="s">
        <v>227</v>
      </c>
      <c r="F86" s="329" t="s">
        <v>298</v>
      </c>
      <c r="G86" s="329" t="s">
        <v>229</v>
      </c>
      <c r="H86" s="329" t="s">
        <v>385</v>
      </c>
      <c r="I86" s="354">
        <v>43228</v>
      </c>
      <c r="J86" s="355">
        <v>2000</v>
      </c>
      <c r="K86" s="392"/>
      <c r="L86" s="391"/>
      <c r="M86" s="393">
        <v>3.1</v>
      </c>
      <c r="N86" s="332">
        <f t="shared" si="2"/>
        <v>2000.0030999999999</v>
      </c>
      <c r="O86" s="333">
        <v>3</v>
      </c>
      <c r="P86" s="332">
        <f t="shared" si="7"/>
        <v>0.88975669159417592</v>
      </c>
      <c r="Q86" s="329" t="str">
        <f t="shared" si="8"/>
        <v>M-016</v>
      </c>
      <c r="R86" s="360" t="s">
        <v>292</v>
      </c>
      <c r="S86" s="95"/>
      <c r="T86" s="95"/>
      <c r="U86" s="95"/>
      <c r="V86" s="95"/>
      <c r="W86" s="95"/>
      <c r="X86" s="95"/>
      <c r="Y86" s="95"/>
      <c r="Z86" s="9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V86" s="175"/>
      <c r="AW86" s="175"/>
      <c r="AX86" s="175"/>
    </row>
    <row r="87" spans="2:50" ht="30" customHeight="1" x14ac:dyDescent="0.2">
      <c r="B87" s="1079"/>
      <c r="C87" s="353" t="s">
        <v>246</v>
      </c>
      <c r="D87" s="329" t="s">
        <v>199</v>
      </c>
      <c r="E87" s="329" t="s">
        <v>227</v>
      </c>
      <c r="F87" s="329" t="s">
        <v>298</v>
      </c>
      <c r="G87" s="329" t="s">
        <v>234</v>
      </c>
      <c r="H87" s="329" t="s">
        <v>385</v>
      </c>
      <c r="I87" s="354">
        <v>43228</v>
      </c>
      <c r="J87" s="355">
        <v>2000</v>
      </c>
      <c r="K87" s="392"/>
      <c r="L87" s="391"/>
      <c r="M87" s="358">
        <v>3.2</v>
      </c>
      <c r="N87" s="332">
        <f t="shared" si="2"/>
        <v>2000.0032000000001</v>
      </c>
      <c r="O87" s="333">
        <v>3</v>
      </c>
      <c r="P87" s="332">
        <f t="shared" si="7"/>
        <v>0.88975669159417592</v>
      </c>
      <c r="Q87" s="329" t="str">
        <f>Q86</f>
        <v>M-016</v>
      </c>
      <c r="R87" s="360" t="s">
        <v>292</v>
      </c>
      <c r="S87" s="95"/>
      <c r="T87" s="95"/>
      <c r="U87" s="9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V87" s="175"/>
      <c r="AW87" s="175"/>
      <c r="AX87" s="175"/>
    </row>
    <row r="88" spans="2:50" ht="30" customHeight="1" thickBot="1" x14ac:dyDescent="0.25">
      <c r="B88" s="1080"/>
      <c r="C88" s="361" t="s">
        <v>247</v>
      </c>
      <c r="D88" s="340" t="s">
        <v>199</v>
      </c>
      <c r="E88" s="340" t="s">
        <v>227</v>
      </c>
      <c r="F88" s="340" t="s">
        <v>298</v>
      </c>
      <c r="G88" s="340" t="s">
        <v>229</v>
      </c>
      <c r="H88" s="340" t="s">
        <v>385</v>
      </c>
      <c r="I88" s="362">
        <v>43228</v>
      </c>
      <c r="J88" s="363">
        <v>5000</v>
      </c>
      <c r="K88" s="395"/>
      <c r="L88" s="401"/>
      <c r="M88" s="366">
        <v>7.9</v>
      </c>
      <c r="N88" s="341">
        <f t="shared" si="2"/>
        <v>5000.0078999999996</v>
      </c>
      <c r="O88" s="367">
        <v>8</v>
      </c>
      <c r="P88" s="341">
        <f t="shared" si="7"/>
        <v>0.88975669159417592</v>
      </c>
      <c r="Q88" s="340" t="str">
        <f t="shared" si="8"/>
        <v>M-016</v>
      </c>
      <c r="R88" s="368" t="s">
        <v>292</v>
      </c>
      <c r="U88" s="9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V88" s="175"/>
      <c r="AW88" s="175"/>
      <c r="AX88" s="175"/>
    </row>
    <row r="89" spans="2:50" ht="30" customHeight="1" x14ac:dyDescent="0.2">
      <c r="B89" s="188"/>
      <c r="U89" s="9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V89" s="175"/>
      <c r="AW89" s="175"/>
      <c r="AX89" s="175"/>
    </row>
    <row r="90" spans="2:50" ht="30" customHeight="1" x14ac:dyDescent="0.2">
      <c r="B90" s="188"/>
      <c r="U90" s="9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V90" s="175"/>
      <c r="AW90" s="175"/>
      <c r="AX90" s="175"/>
    </row>
    <row r="91" spans="2:50" ht="30" customHeight="1" x14ac:dyDescent="0.2">
      <c r="O91" s="95"/>
      <c r="P91" s="95"/>
      <c r="Q91" s="95"/>
      <c r="R91" s="95"/>
      <c r="S91" s="95"/>
      <c r="T91" s="95"/>
      <c r="U91" s="9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V91" s="175"/>
      <c r="AW91" s="175"/>
      <c r="AX91" s="175"/>
    </row>
    <row r="92" spans="2:50" ht="30" customHeight="1" x14ac:dyDescent="0.2">
      <c r="O92" s="95"/>
      <c r="P92" s="95"/>
      <c r="Q92" s="95"/>
      <c r="R92" s="95"/>
      <c r="S92" s="95"/>
      <c r="T92" s="95"/>
      <c r="U92" s="9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V92" s="175"/>
      <c r="AW92" s="175"/>
      <c r="AX92" s="175"/>
    </row>
    <row r="93" spans="2:50" ht="30" customHeight="1" x14ac:dyDescent="0.2">
      <c r="O93" s="95"/>
      <c r="P93" s="95"/>
      <c r="Q93" s="95"/>
      <c r="R93" s="95"/>
      <c r="S93" s="95"/>
      <c r="T93" s="95"/>
      <c r="U93" s="9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V93" s="175"/>
      <c r="AW93" s="175"/>
      <c r="AX93" s="175"/>
    </row>
    <row r="94" spans="2:50" ht="30" customHeight="1" x14ac:dyDescent="0.2">
      <c r="O94" s="95"/>
      <c r="P94" s="95"/>
      <c r="Q94" s="95"/>
      <c r="R94" s="95"/>
      <c r="S94" s="95"/>
      <c r="T94" s="95"/>
      <c r="U94" s="9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V94" s="175"/>
      <c r="AW94" s="175"/>
      <c r="AX94" s="175"/>
    </row>
    <row r="95" spans="2:50" ht="30" customHeight="1" thickBot="1" x14ac:dyDescent="0.25">
      <c r="O95" s="95"/>
      <c r="P95" s="95"/>
      <c r="Q95" s="95"/>
      <c r="R95" s="95"/>
      <c r="S95" s="95"/>
      <c r="T95" s="95"/>
      <c r="U95" s="9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V95" s="175"/>
      <c r="AW95" s="175"/>
      <c r="AX95" s="175"/>
    </row>
    <row r="96" spans="2:50" ht="30" customHeight="1" x14ac:dyDescent="0.2">
      <c r="B96" s="188"/>
      <c r="C96" s="1015" t="s">
        <v>403</v>
      </c>
      <c r="D96" s="1016"/>
      <c r="E96" s="1016"/>
      <c r="F96" s="1016"/>
      <c r="G96" s="1016"/>
      <c r="H96" s="1016"/>
      <c r="I96" s="1016"/>
      <c r="J96" s="1016"/>
      <c r="K96" s="1016"/>
      <c r="L96" s="1016"/>
      <c r="M96" s="1016"/>
      <c r="N96" s="1016"/>
      <c r="O96" s="1016"/>
      <c r="P96" s="1016"/>
      <c r="Q96" s="1016"/>
      <c r="R96" s="1016"/>
      <c r="S96" s="1016"/>
      <c r="T96" s="1017"/>
      <c r="U96" s="9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V96" s="175"/>
      <c r="AW96" s="175"/>
      <c r="AX96" s="175"/>
    </row>
    <row r="97" spans="1:50" ht="30" customHeight="1" thickBot="1" x14ac:dyDescent="0.25">
      <c r="B97" s="188"/>
      <c r="C97" s="1018"/>
      <c r="D97" s="1019"/>
      <c r="E97" s="1019"/>
      <c r="F97" s="1019"/>
      <c r="G97" s="1019"/>
      <c r="H97" s="1019"/>
      <c r="I97" s="1019"/>
      <c r="J97" s="1019"/>
      <c r="K97" s="1019"/>
      <c r="L97" s="1019"/>
      <c r="M97" s="1019"/>
      <c r="N97" s="1019"/>
      <c r="O97" s="1019"/>
      <c r="P97" s="1019"/>
      <c r="Q97" s="1019"/>
      <c r="R97" s="1019"/>
      <c r="S97" s="1019"/>
      <c r="T97" s="1020"/>
      <c r="U97" s="9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V97" s="175"/>
      <c r="AW97" s="175"/>
      <c r="AX97" s="175"/>
    </row>
    <row r="98" spans="1:50" ht="30" customHeight="1" thickBot="1" x14ac:dyDescent="0.25">
      <c r="B98" s="188"/>
      <c r="C98" s="1021" t="s">
        <v>466</v>
      </c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3"/>
      <c r="U98" s="9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V98" s="175"/>
      <c r="AW98" s="175"/>
      <c r="AX98" s="175"/>
    </row>
    <row r="99" spans="1:50" ht="30" customHeight="1" x14ac:dyDescent="0.2">
      <c r="B99" s="188"/>
      <c r="C99" s="175"/>
      <c r="D99" s="881" t="s">
        <v>3</v>
      </c>
      <c r="E99" s="861" t="s">
        <v>263</v>
      </c>
      <c r="F99" s="861" t="s">
        <v>264</v>
      </c>
      <c r="G99" s="861" t="s">
        <v>265</v>
      </c>
      <c r="H99" s="861" t="s">
        <v>266</v>
      </c>
      <c r="I99" s="861" t="s">
        <v>267</v>
      </c>
      <c r="J99" s="861" t="s">
        <v>268</v>
      </c>
      <c r="K99" s="861" t="s">
        <v>269</v>
      </c>
      <c r="L99" s="863" t="s">
        <v>270</v>
      </c>
      <c r="O99" s="865" t="s">
        <v>404</v>
      </c>
      <c r="P99" s="866" t="s">
        <v>267</v>
      </c>
      <c r="Q99" s="867"/>
      <c r="R99" s="868"/>
      <c r="S99" s="869" t="s">
        <v>269</v>
      </c>
      <c r="T99" s="863" t="s">
        <v>270</v>
      </c>
      <c r="U99" s="9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V99" s="175"/>
      <c r="AW99" s="175"/>
      <c r="AX99" s="175"/>
    </row>
    <row r="100" spans="1:50" ht="30" customHeight="1" thickBot="1" x14ac:dyDescent="0.25">
      <c r="B100" s="188"/>
      <c r="C100" s="189"/>
      <c r="D100" s="882"/>
      <c r="E100" s="862"/>
      <c r="F100" s="862"/>
      <c r="G100" s="862"/>
      <c r="H100" s="862"/>
      <c r="I100" s="862"/>
      <c r="J100" s="862"/>
      <c r="K100" s="862"/>
      <c r="L100" s="864"/>
      <c r="O100" s="865"/>
      <c r="P100" s="866"/>
      <c r="Q100" s="867"/>
      <c r="R100" s="868"/>
      <c r="S100" s="870"/>
      <c r="T100" s="864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V100" s="175"/>
      <c r="AW100" s="175"/>
      <c r="AX100" s="175"/>
    </row>
    <row r="101" spans="1:50" ht="30" customHeight="1" thickBot="1" x14ac:dyDescent="0.25">
      <c r="A101" s="190"/>
      <c r="B101" s="191"/>
      <c r="C101" s="192"/>
      <c r="D101" s="192"/>
      <c r="E101" s="192"/>
      <c r="F101" s="192"/>
      <c r="G101" s="192"/>
      <c r="H101" s="192"/>
      <c r="I101" s="193"/>
      <c r="J101" s="193"/>
      <c r="K101" s="193"/>
      <c r="L101" s="193"/>
      <c r="O101" s="194"/>
      <c r="P101" s="194"/>
      <c r="Q101" s="194"/>
      <c r="R101" s="194"/>
      <c r="S101" s="195"/>
      <c r="T101" s="196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V101" s="175"/>
      <c r="AW101" s="175"/>
      <c r="AX101" s="175"/>
    </row>
    <row r="102" spans="1:50" ht="30" customHeight="1" x14ac:dyDescent="0.2">
      <c r="A102" s="908" t="s">
        <v>339</v>
      </c>
      <c r="B102" s="909"/>
      <c r="C102" s="914" t="s">
        <v>343</v>
      </c>
      <c r="D102" s="1043" t="s">
        <v>271</v>
      </c>
      <c r="E102" s="1002" t="s">
        <v>313</v>
      </c>
      <c r="F102" s="306">
        <v>15.3</v>
      </c>
      <c r="G102" s="301">
        <v>0.1</v>
      </c>
      <c r="H102" s="302">
        <v>-0.1</v>
      </c>
      <c r="I102" s="754">
        <v>0.2</v>
      </c>
      <c r="J102" s="1054">
        <v>2</v>
      </c>
      <c r="K102" s="1053">
        <v>43258</v>
      </c>
      <c r="L102" s="1046" t="s">
        <v>389</v>
      </c>
      <c r="O102" s="295"/>
      <c r="P102" s="201" t="s">
        <v>336</v>
      </c>
      <c r="Q102" s="271" t="s">
        <v>337</v>
      </c>
      <c r="R102" s="271" t="s">
        <v>338</v>
      </c>
      <c r="S102" s="889" t="s">
        <v>440</v>
      </c>
      <c r="T102" s="892" t="s">
        <v>441</v>
      </c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V102" s="175"/>
      <c r="AW102" s="175"/>
      <c r="AX102" s="175"/>
    </row>
    <row r="103" spans="1:50" ht="30" customHeight="1" x14ac:dyDescent="0.2">
      <c r="A103" s="910"/>
      <c r="B103" s="911"/>
      <c r="C103" s="915"/>
      <c r="D103" s="1044"/>
      <c r="E103" s="1003"/>
      <c r="F103" s="307">
        <v>24.9</v>
      </c>
      <c r="G103" s="719">
        <v>0.1</v>
      </c>
      <c r="H103" s="304">
        <v>0</v>
      </c>
      <c r="I103" s="755">
        <v>0.2</v>
      </c>
      <c r="J103" s="1041"/>
      <c r="K103" s="1037"/>
      <c r="L103" s="1047"/>
      <c r="O103" s="895" t="s">
        <v>362</v>
      </c>
      <c r="P103" s="311">
        <f>MAX(I102:I104)</f>
        <v>0.2</v>
      </c>
      <c r="Q103" s="311">
        <f>MAX(I105:I107)</f>
        <v>1.7</v>
      </c>
      <c r="R103" s="311">
        <f>MAX(I108:I110)</f>
        <v>0.19</v>
      </c>
      <c r="S103" s="890"/>
      <c r="T103" s="893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V103" s="175"/>
      <c r="AW103" s="175"/>
      <c r="AX103" s="175"/>
    </row>
    <row r="104" spans="1:50" ht="30" customHeight="1" thickBot="1" x14ac:dyDescent="0.25">
      <c r="A104" s="912"/>
      <c r="B104" s="913"/>
      <c r="C104" s="915"/>
      <c r="D104" s="1044"/>
      <c r="E104" s="1003"/>
      <c r="F104" s="309">
        <v>29.7</v>
      </c>
      <c r="G104" s="720">
        <v>0.1</v>
      </c>
      <c r="H104" s="756">
        <v>0</v>
      </c>
      <c r="I104" s="757">
        <v>0.2</v>
      </c>
      <c r="J104" s="1055"/>
      <c r="K104" s="1038"/>
      <c r="L104" s="1048"/>
      <c r="O104" s="896"/>
      <c r="P104" s="209"/>
      <c r="Q104" s="210"/>
      <c r="R104" s="210"/>
      <c r="S104" s="891"/>
      <c r="T104" s="894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V104" s="175"/>
      <c r="AW104" s="175"/>
      <c r="AX104" s="175"/>
    </row>
    <row r="105" spans="1:50" ht="30" customHeight="1" x14ac:dyDescent="0.2">
      <c r="A105" s="897" t="s">
        <v>340</v>
      </c>
      <c r="B105" s="898"/>
      <c r="C105" s="915"/>
      <c r="D105" s="1044"/>
      <c r="E105" s="1003"/>
      <c r="F105" s="306">
        <v>33.1</v>
      </c>
      <c r="G105" s="301">
        <v>0.1</v>
      </c>
      <c r="H105" s="301">
        <v>-3.1</v>
      </c>
      <c r="I105" s="758">
        <v>1.7</v>
      </c>
      <c r="J105" s="1040">
        <v>2</v>
      </c>
      <c r="K105" s="1036">
        <v>43264</v>
      </c>
      <c r="L105" s="1049" t="s">
        <v>390</v>
      </c>
      <c r="O105" s="95"/>
      <c r="P105" s="95"/>
      <c r="Q105" s="95"/>
      <c r="R105" s="95"/>
      <c r="S105" s="95"/>
      <c r="T105" s="9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V105" s="175"/>
      <c r="AW105" s="175"/>
      <c r="AX105" s="175"/>
    </row>
    <row r="106" spans="1:50" ht="30" customHeight="1" x14ac:dyDescent="0.2">
      <c r="A106" s="899"/>
      <c r="B106" s="900"/>
      <c r="C106" s="915"/>
      <c r="D106" s="1044"/>
      <c r="E106" s="1003"/>
      <c r="F106" s="308">
        <v>51</v>
      </c>
      <c r="G106" s="719">
        <v>0.1</v>
      </c>
      <c r="H106" s="305">
        <v>-1</v>
      </c>
      <c r="I106" s="755">
        <v>1.7</v>
      </c>
      <c r="J106" s="1041"/>
      <c r="K106" s="1037"/>
      <c r="L106" s="1047"/>
      <c r="O106" s="95"/>
      <c r="P106" s="95"/>
      <c r="Q106" s="95"/>
      <c r="R106" s="95"/>
      <c r="S106" s="95"/>
      <c r="T106" s="9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V106" s="175"/>
      <c r="AW106" s="175"/>
      <c r="AX106" s="175"/>
    </row>
    <row r="107" spans="1:50" ht="30" customHeight="1" thickBot="1" x14ac:dyDescent="0.25">
      <c r="A107" s="901"/>
      <c r="B107" s="902"/>
      <c r="C107" s="915"/>
      <c r="D107" s="1044"/>
      <c r="E107" s="1003"/>
      <c r="F107" s="316">
        <v>77.2</v>
      </c>
      <c r="G107" s="720">
        <v>0.1</v>
      </c>
      <c r="H107" s="310">
        <v>2.8</v>
      </c>
      <c r="I107" s="757">
        <v>1.7</v>
      </c>
      <c r="J107" s="1055"/>
      <c r="K107" s="1038"/>
      <c r="L107" s="1048"/>
      <c r="O107" s="95"/>
      <c r="P107" s="95"/>
      <c r="Q107" s="95"/>
      <c r="R107" s="95"/>
      <c r="S107" s="9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V107" s="175"/>
      <c r="AW107" s="175"/>
      <c r="AX107" s="175"/>
    </row>
    <row r="108" spans="1:50" ht="30" customHeight="1" x14ac:dyDescent="0.2">
      <c r="A108" s="899" t="s">
        <v>405</v>
      </c>
      <c r="B108" s="900"/>
      <c r="C108" s="915"/>
      <c r="D108" s="1044"/>
      <c r="E108" s="1003"/>
      <c r="F108" s="306">
        <v>698.3</v>
      </c>
      <c r="G108" s="301">
        <v>0.1</v>
      </c>
      <c r="H108" s="301">
        <v>-0.92</v>
      </c>
      <c r="I108" s="758">
        <v>7.5999999999999998E-2</v>
      </c>
      <c r="J108" s="1040">
        <v>2</v>
      </c>
      <c r="K108" s="1036">
        <v>43333</v>
      </c>
      <c r="L108" s="1050" t="s">
        <v>439</v>
      </c>
      <c r="O108" s="95"/>
      <c r="P108" s="95"/>
      <c r="Q108" s="95"/>
      <c r="R108" s="95"/>
      <c r="S108" s="9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V108" s="175"/>
      <c r="AW108" s="175"/>
      <c r="AX108" s="175"/>
    </row>
    <row r="109" spans="1:50" ht="30" customHeight="1" x14ac:dyDescent="0.2">
      <c r="A109" s="899"/>
      <c r="B109" s="900"/>
      <c r="C109" s="915"/>
      <c r="D109" s="1044"/>
      <c r="E109" s="1003"/>
      <c r="F109" s="307">
        <v>752.6</v>
      </c>
      <c r="G109" s="303">
        <v>0.1</v>
      </c>
      <c r="H109" s="303">
        <v>-0.89</v>
      </c>
      <c r="I109" s="755">
        <v>7.8E-2</v>
      </c>
      <c r="J109" s="1041"/>
      <c r="K109" s="1037"/>
      <c r="L109" s="1051"/>
      <c r="O109" s="95"/>
      <c r="P109" s="95"/>
      <c r="Q109" s="95"/>
      <c r="R109" s="95"/>
      <c r="S109" s="9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V109" s="175"/>
      <c r="AW109" s="175"/>
      <c r="AX109" s="175"/>
    </row>
    <row r="110" spans="1:50" ht="30" customHeight="1" thickBot="1" x14ac:dyDescent="0.25">
      <c r="A110" s="901"/>
      <c r="B110" s="902"/>
      <c r="C110" s="916"/>
      <c r="D110" s="1045"/>
      <c r="E110" s="1004"/>
      <c r="F110" s="309">
        <v>798.4</v>
      </c>
      <c r="G110" s="310">
        <v>0.1</v>
      </c>
      <c r="H110" s="310">
        <v>-0.79</v>
      </c>
      <c r="I110" s="757">
        <v>0.19</v>
      </c>
      <c r="J110" s="1042"/>
      <c r="K110" s="1039"/>
      <c r="L110" s="1052"/>
      <c r="O110" s="95"/>
      <c r="P110" s="95"/>
      <c r="Q110" s="95"/>
      <c r="R110" s="95"/>
      <c r="S110" s="9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V110" s="175"/>
      <c r="AW110" s="175"/>
      <c r="AX110" s="175"/>
    </row>
    <row r="111" spans="1:50" ht="30" customHeight="1" thickBot="1" x14ac:dyDescent="0.25">
      <c r="A111" s="214"/>
      <c r="B111" s="214"/>
      <c r="C111" s="215"/>
      <c r="D111" s="216"/>
      <c r="E111" s="217"/>
      <c r="F111" s="218"/>
      <c r="G111" s="215"/>
      <c r="H111" s="215"/>
      <c r="I111" s="215"/>
      <c r="J111" s="215"/>
      <c r="K111" s="219"/>
      <c r="L111" s="215"/>
      <c r="O111" s="95"/>
      <c r="P111" s="95"/>
      <c r="Q111" s="95"/>
      <c r="R111" s="95"/>
      <c r="S111" s="95"/>
      <c r="U111" s="9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</row>
    <row r="112" spans="1:50" ht="30" customHeight="1" thickBot="1" x14ac:dyDescent="0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O112" s="95"/>
      <c r="P112" s="95"/>
      <c r="Q112" s="95"/>
      <c r="R112" s="95"/>
      <c r="S112" s="95"/>
      <c r="U112" s="9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</row>
    <row r="113" spans="1:50" ht="30" customHeight="1" x14ac:dyDescent="0.2">
      <c r="A113" s="938" t="s">
        <v>339</v>
      </c>
      <c r="B113" s="939"/>
      <c r="C113" s="914" t="s">
        <v>347</v>
      </c>
      <c r="D113" s="944" t="s">
        <v>271</v>
      </c>
      <c r="E113" s="1002">
        <v>19506160802033</v>
      </c>
      <c r="F113" s="312">
        <v>15.4</v>
      </c>
      <c r="G113" s="301">
        <v>0.1</v>
      </c>
      <c r="H113" s="301">
        <v>-0.2</v>
      </c>
      <c r="I113" s="758">
        <v>0.2</v>
      </c>
      <c r="J113" s="1026">
        <v>2</v>
      </c>
      <c r="K113" s="1027">
        <v>43258</v>
      </c>
      <c r="L113" s="1032" t="s">
        <v>391</v>
      </c>
      <c r="O113" s="220"/>
      <c r="P113" s="221" t="s">
        <v>336</v>
      </c>
      <c r="Q113" s="222" t="s">
        <v>337</v>
      </c>
      <c r="R113" s="222" t="s">
        <v>338</v>
      </c>
      <c r="S113" s="925" t="s">
        <v>443</v>
      </c>
      <c r="T113" s="926" t="s">
        <v>444</v>
      </c>
      <c r="U113" s="9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</row>
    <row r="114" spans="1:50" ht="30" customHeight="1" x14ac:dyDescent="0.2">
      <c r="A114" s="940"/>
      <c r="B114" s="941"/>
      <c r="C114" s="915"/>
      <c r="D114" s="921"/>
      <c r="E114" s="1003"/>
      <c r="F114" s="307">
        <v>24.8</v>
      </c>
      <c r="G114" s="303">
        <v>0.1</v>
      </c>
      <c r="H114" s="303">
        <v>0.1</v>
      </c>
      <c r="I114" s="755">
        <v>0.3</v>
      </c>
      <c r="J114" s="1006"/>
      <c r="K114" s="1009"/>
      <c r="L114" s="1012"/>
      <c r="O114" s="895" t="s">
        <v>335</v>
      </c>
      <c r="P114" s="311">
        <f>MAX(I113:I115)</f>
        <v>0.4</v>
      </c>
      <c r="Q114" s="318">
        <f>MAX(I116:I118)</f>
        <v>1.7</v>
      </c>
      <c r="R114" s="319">
        <f>MAX(I119:I121)</f>
        <v>0.18</v>
      </c>
      <c r="S114" s="890"/>
      <c r="T114" s="893"/>
      <c r="U114" s="9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</row>
    <row r="115" spans="1:50" ht="30" customHeight="1" thickBot="1" x14ac:dyDescent="0.25">
      <c r="A115" s="942"/>
      <c r="B115" s="943"/>
      <c r="C115" s="915"/>
      <c r="D115" s="921"/>
      <c r="E115" s="1003"/>
      <c r="F115" s="316">
        <v>34.4</v>
      </c>
      <c r="G115" s="310">
        <v>0.1</v>
      </c>
      <c r="H115" s="310">
        <v>0.1</v>
      </c>
      <c r="I115" s="757">
        <v>0.4</v>
      </c>
      <c r="J115" s="1006"/>
      <c r="K115" s="1009"/>
      <c r="L115" s="1012"/>
      <c r="O115" s="896"/>
      <c r="P115" s="209"/>
      <c r="Q115" s="210"/>
      <c r="R115" s="210"/>
      <c r="S115" s="891"/>
      <c r="T115" s="894"/>
      <c r="U115" s="9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</row>
    <row r="116" spans="1:50" ht="30" customHeight="1" x14ac:dyDescent="0.2">
      <c r="A116" s="897" t="s">
        <v>340</v>
      </c>
      <c r="B116" s="898"/>
      <c r="C116" s="915"/>
      <c r="D116" s="921"/>
      <c r="E116" s="1003"/>
      <c r="F116" s="306">
        <v>32.5</v>
      </c>
      <c r="G116" s="759">
        <v>0.1</v>
      </c>
      <c r="H116" s="759">
        <v>-2.5</v>
      </c>
      <c r="I116" s="762">
        <v>1.7</v>
      </c>
      <c r="J116" s="1005">
        <v>2</v>
      </c>
      <c r="K116" s="1008">
        <v>43264</v>
      </c>
      <c r="L116" s="1025" t="s">
        <v>392</v>
      </c>
      <c r="O116" s="95"/>
      <c r="P116" s="95"/>
      <c r="Q116" s="95"/>
      <c r="R116" s="95"/>
      <c r="U116" s="9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</row>
    <row r="117" spans="1:50" ht="30" customHeight="1" x14ac:dyDescent="0.2">
      <c r="A117" s="899"/>
      <c r="B117" s="900"/>
      <c r="C117" s="915"/>
      <c r="D117" s="921"/>
      <c r="E117" s="1003"/>
      <c r="F117" s="307">
        <v>50.6</v>
      </c>
      <c r="G117" s="313">
        <v>0.1</v>
      </c>
      <c r="H117" s="313">
        <v>-0.6</v>
      </c>
      <c r="I117" s="763">
        <v>1.7</v>
      </c>
      <c r="J117" s="1006"/>
      <c r="K117" s="1009"/>
      <c r="L117" s="1012"/>
      <c r="O117" s="95"/>
      <c r="P117" s="95"/>
      <c r="Q117" s="95"/>
      <c r="R117" s="95"/>
      <c r="U117" s="9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</row>
    <row r="118" spans="1:50" ht="30" customHeight="1" thickBot="1" x14ac:dyDescent="0.25">
      <c r="A118" s="901"/>
      <c r="B118" s="902"/>
      <c r="C118" s="915"/>
      <c r="D118" s="921"/>
      <c r="E118" s="1003"/>
      <c r="F118" s="316">
        <v>77.099999999999994</v>
      </c>
      <c r="G118" s="317">
        <v>0.1</v>
      </c>
      <c r="H118" s="317">
        <v>2.9</v>
      </c>
      <c r="I118" s="764">
        <v>1.7</v>
      </c>
      <c r="J118" s="1006"/>
      <c r="K118" s="1009"/>
      <c r="L118" s="1012"/>
      <c r="O118" s="95"/>
      <c r="P118" s="95"/>
      <c r="Q118" s="95"/>
      <c r="R118" s="95"/>
      <c r="U118" s="95"/>
      <c r="V118" s="9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</row>
    <row r="119" spans="1:50" ht="30" customHeight="1" x14ac:dyDescent="0.2">
      <c r="A119" s="897" t="s">
        <v>405</v>
      </c>
      <c r="B119" s="898"/>
      <c r="C119" s="915"/>
      <c r="D119" s="921"/>
      <c r="E119" s="1003"/>
      <c r="F119" s="312">
        <v>698.3</v>
      </c>
      <c r="G119" s="759">
        <v>0.1</v>
      </c>
      <c r="H119" s="760">
        <v>-0.82</v>
      </c>
      <c r="I119" s="761">
        <v>7.6999999999999999E-2</v>
      </c>
      <c r="J119" s="1005">
        <v>2</v>
      </c>
      <c r="K119" s="1008">
        <v>43333</v>
      </c>
      <c r="L119" s="1011" t="s">
        <v>442</v>
      </c>
      <c r="O119" s="95"/>
      <c r="P119" s="95"/>
      <c r="Q119" s="95"/>
      <c r="R119" s="95"/>
      <c r="T119" s="227"/>
      <c r="U119" s="95"/>
      <c r="V119" s="9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</row>
    <row r="120" spans="1:50" ht="30" customHeight="1" x14ac:dyDescent="0.2">
      <c r="A120" s="899"/>
      <c r="B120" s="900"/>
      <c r="C120" s="915"/>
      <c r="D120" s="921"/>
      <c r="E120" s="1003"/>
      <c r="F120" s="307">
        <v>752.7</v>
      </c>
      <c r="G120" s="313">
        <v>0.1</v>
      </c>
      <c r="H120" s="314">
        <v>-0.79</v>
      </c>
      <c r="I120" s="717">
        <v>7.8E-2</v>
      </c>
      <c r="J120" s="1006"/>
      <c r="K120" s="1009"/>
      <c r="L120" s="1012"/>
      <c r="O120" s="95"/>
      <c r="P120" s="95"/>
      <c r="Q120" s="95"/>
      <c r="R120" s="95"/>
      <c r="T120" s="173"/>
      <c r="U120" s="95"/>
      <c r="V120" s="95"/>
    </row>
    <row r="121" spans="1:50" ht="30" customHeight="1" thickBot="1" x14ac:dyDescent="0.25">
      <c r="A121" s="901"/>
      <c r="B121" s="902"/>
      <c r="C121" s="916"/>
      <c r="D121" s="922"/>
      <c r="E121" s="1004"/>
      <c r="F121" s="316">
        <v>798.5</v>
      </c>
      <c r="G121" s="317">
        <v>0.1</v>
      </c>
      <c r="H121" s="749">
        <v>-0.53</v>
      </c>
      <c r="I121" s="721">
        <v>0.18</v>
      </c>
      <c r="J121" s="1007"/>
      <c r="K121" s="1010"/>
      <c r="L121" s="1013"/>
      <c r="O121" s="95"/>
      <c r="P121" s="95"/>
      <c r="Q121" s="95"/>
      <c r="R121" s="95"/>
      <c r="T121" s="173"/>
      <c r="U121" s="95"/>
      <c r="V121" s="95"/>
    </row>
    <row r="122" spans="1:50" ht="30" customHeight="1" thickBot="1" x14ac:dyDescent="0.25">
      <c r="A122" s="229"/>
      <c r="B122" s="230"/>
      <c r="C122" s="147"/>
      <c r="D122" s="231"/>
      <c r="E122" s="232"/>
      <c r="F122" s="147"/>
      <c r="G122" s="147"/>
      <c r="H122" s="147"/>
      <c r="I122" s="147"/>
      <c r="J122" s="147"/>
      <c r="K122" s="233"/>
      <c r="L122" s="234"/>
      <c r="O122" s="95"/>
      <c r="P122" s="95"/>
      <c r="Q122" s="95"/>
      <c r="R122" s="95"/>
      <c r="T122" s="173"/>
      <c r="U122" s="95"/>
      <c r="V122" s="95"/>
    </row>
    <row r="123" spans="1:50" ht="30" customHeight="1" thickBot="1" x14ac:dyDescent="0.25">
      <c r="A123" s="235"/>
      <c r="B123" s="194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O123" s="95"/>
      <c r="P123" s="95"/>
      <c r="Q123" s="95"/>
      <c r="R123" s="95"/>
      <c r="T123" s="173"/>
      <c r="U123" s="95"/>
      <c r="V123" s="95"/>
    </row>
    <row r="124" spans="1:50" ht="30" customHeight="1" x14ac:dyDescent="0.2">
      <c r="A124" s="908" t="s">
        <v>339</v>
      </c>
      <c r="B124" s="955"/>
      <c r="C124" s="914" t="s">
        <v>348</v>
      </c>
      <c r="D124" s="960" t="s">
        <v>271</v>
      </c>
      <c r="E124" s="1002">
        <v>19406160802033</v>
      </c>
      <c r="F124" s="312">
        <v>15.3</v>
      </c>
      <c r="G124" s="301">
        <v>0.1</v>
      </c>
      <c r="H124" s="302">
        <v>0</v>
      </c>
      <c r="I124" s="765">
        <v>0.2</v>
      </c>
      <c r="J124" s="1026">
        <v>2</v>
      </c>
      <c r="K124" s="1027">
        <v>43266</v>
      </c>
      <c r="L124" s="1032" t="s">
        <v>393</v>
      </c>
      <c r="O124" s="220"/>
      <c r="P124" s="221" t="s">
        <v>336</v>
      </c>
      <c r="Q124" s="222" t="s">
        <v>337</v>
      </c>
      <c r="R124" s="222" t="s">
        <v>338</v>
      </c>
      <c r="S124" s="925" t="s">
        <v>446</v>
      </c>
      <c r="T124" s="926" t="s">
        <v>447</v>
      </c>
      <c r="U124" s="95"/>
      <c r="V124" s="95"/>
    </row>
    <row r="125" spans="1:50" ht="30" customHeight="1" x14ac:dyDescent="0.2">
      <c r="A125" s="956"/>
      <c r="B125" s="957"/>
      <c r="C125" s="915"/>
      <c r="D125" s="961"/>
      <c r="E125" s="1003"/>
      <c r="F125" s="307">
        <v>24.8</v>
      </c>
      <c r="G125" s="303">
        <v>0.1</v>
      </c>
      <c r="H125" s="305">
        <v>0</v>
      </c>
      <c r="I125" s="766">
        <v>0.2</v>
      </c>
      <c r="J125" s="1006"/>
      <c r="K125" s="1009"/>
      <c r="L125" s="1012"/>
      <c r="O125" s="895" t="s">
        <v>363</v>
      </c>
      <c r="P125" s="311">
        <f>MAX(I124:I126)</f>
        <v>0.4</v>
      </c>
      <c r="Q125" s="315">
        <f>MAX(I127:I129)</f>
        <v>1.7</v>
      </c>
      <c r="R125" s="315">
        <f>MAX(I130:I132)</f>
        <v>0.11</v>
      </c>
      <c r="S125" s="890"/>
      <c r="T125" s="893"/>
      <c r="U125" s="95"/>
      <c r="V125" s="95"/>
    </row>
    <row r="126" spans="1:50" ht="30" customHeight="1" thickBot="1" x14ac:dyDescent="0.25">
      <c r="A126" s="958"/>
      <c r="B126" s="959"/>
      <c r="C126" s="915"/>
      <c r="D126" s="961"/>
      <c r="E126" s="1003"/>
      <c r="F126" s="316">
        <v>34.4</v>
      </c>
      <c r="G126" s="310">
        <v>0.1</v>
      </c>
      <c r="H126" s="310">
        <v>-0.1</v>
      </c>
      <c r="I126" s="757">
        <v>0.4</v>
      </c>
      <c r="J126" s="1006"/>
      <c r="K126" s="1009"/>
      <c r="L126" s="1012"/>
      <c r="O126" s="896"/>
      <c r="P126" s="209"/>
      <c r="Q126" s="210"/>
      <c r="R126" s="210"/>
      <c r="S126" s="891"/>
      <c r="T126" s="894"/>
      <c r="U126" s="95"/>
      <c r="V126" s="95"/>
    </row>
    <row r="127" spans="1:50" ht="30" customHeight="1" x14ac:dyDescent="0.2">
      <c r="A127" s="897" t="s">
        <v>340</v>
      </c>
      <c r="B127" s="963"/>
      <c r="C127" s="915"/>
      <c r="D127" s="961"/>
      <c r="E127" s="1003"/>
      <c r="F127" s="306">
        <v>32.5</v>
      </c>
      <c r="G127" s="301">
        <v>0.1</v>
      </c>
      <c r="H127" s="301">
        <v>-2.5</v>
      </c>
      <c r="I127" s="758">
        <v>1.7</v>
      </c>
      <c r="J127" s="1024">
        <v>2</v>
      </c>
      <c r="K127" s="1008">
        <v>43266</v>
      </c>
      <c r="L127" s="1025" t="s">
        <v>394</v>
      </c>
      <c r="O127" s="95"/>
      <c r="P127" s="95"/>
      <c r="Q127" s="95"/>
      <c r="R127" s="95"/>
      <c r="T127" s="173"/>
      <c r="U127" s="95"/>
      <c r="V127" s="95"/>
    </row>
    <row r="128" spans="1:50" ht="30" customHeight="1" x14ac:dyDescent="0.2">
      <c r="A128" s="899"/>
      <c r="B128" s="964"/>
      <c r="C128" s="915"/>
      <c r="D128" s="961"/>
      <c r="E128" s="1003"/>
      <c r="F128" s="307">
        <v>50.8</v>
      </c>
      <c r="G128" s="303">
        <v>0.1</v>
      </c>
      <c r="H128" s="303">
        <v>-0.8</v>
      </c>
      <c r="I128" s="755">
        <v>1.7</v>
      </c>
      <c r="J128" s="1006">
        <v>2</v>
      </c>
      <c r="K128" s="1009"/>
      <c r="L128" s="1012"/>
      <c r="O128" s="95"/>
      <c r="P128" s="95"/>
      <c r="Q128" s="95"/>
      <c r="R128" s="95"/>
      <c r="T128" s="173"/>
      <c r="U128" s="95"/>
      <c r="V128" s="95"/>
    </row>
    <row r="129" spans="1:22" ht="30" customHeight="1" thickBot="1" x14ac:dyDescent="0.25">
      <c r="A129" s="901"/>
      <c r="B129" s="965"/>
      <c r="C129" s="915"/>
      <c r="D129" s="961"/>
      <c r="E129" s="1003"/>
      <c r="F129" s="316">
        <v>78.2</v>
      </c>
      <c r="G129" s="310">
        <v>0.1</v>
      </c>
      <c r="H129" s="310">
        <v>1.8</v>
      </c>
      <c r="I129" s="757">
        <v>1.7</v>
      </c>
      <c r="J129" s="1006"/>
      <c r="K129" s="1009"/>
      <c r="L129" s="1012"/>
      <c r="O129" s="95"/>
      <c r="P129" s="95"/>
      <c r="Q129" s="95"/>
      <c r="R129" s="95"/>
      <c r="T129" s="173"/>
      <c r="U129" s="95"/>
      <c r="V129" s="95"/>
    </row>
    <row r="130" spans="1:22" ht="30" customHeight="1" x14ac:dyDescent="0.2">
      <c r="A130" s="897" t="s">
        <v>405</v>
      </c>
      <c r="B130" s="963"/>
      <c r="C130" s="915"/>
      <c r="D130" s="961"/>
      <c r="E130" s="1003"/>
      <c r="F130" s="312">
        <v>698.4</v>
      </c>
      <c r="G130" s="301">
        <v>0.1</v>
      </c>
      <c r="H130" s="767">
        <v>-0.83</v>
      </c>
      <c r="I130" s="716">
        <v>6.5000000000000002E-2</v>
      </c>
      <c r="J130" s="1024">
        <v>2</v>
      </c>
      <c r="K130" s="1008">
        <v>43333</v>
      </c>
      <c r="L130" s="1031" t="s">
        <v>445</v>
      </c>
      <c r="O130" s="95"/>
      <c r="P130" s="95"/>
      <c r="Q130" s="95"/>
      <c r="R130" s="95"/>
      <c r="T130" s="173"/>
      <c r="U130" s="95"/>
      <c r="V130" s="95"/>
    </row>
    <row r="131" spans="1:22" ht="30" customHeight="1" x14ac:dyDescent="0.2">
      <c r="A131" s="899"/>
      <c r="B131" s="964"/>
      <c r="C131" s="915"/>
      <c r="D131" s="961"/>
      <c r="E131" s="1003"/>
      <c r="F131" s="307">
        <v>752.8</v>
      </c>
      <c r="G131" s="303">
        <v>0.1</v>
      </c>
      <c r="H131" s="321">
        <v>-0.69</v>
      </c>
      <c r="I131" s="717">
        <v>7.8E-2</v>
      </c>
      <c r="J131" s="1006">
        <v>2</v>
      </c>
      <c r="K131" s="1009">
        <v>42671</v>
      </c>
      <c r="L131" s="1012" t="s">
        <v>309</v>
      </c>
      <c r="O131" s="95"/>
      <c r="P131" s="95"/>
      <c r="Q131" s="95"/>
      <c r="R131" s="95"/>
      <c r="T131" s="173"/>
      <c r="U131" s="95"/>
      <c r="V131" s="95"/>
    </row>
    <row r="132" spans="1:22" ht="30" customHeight="1" thickBot="1" x14ac:dyDescent="0.25">
      <c r="A132" s="901"/>
      <c r="B132" s="965"/>
      <c r="C132" s="916"/>
      <c r="D132" s="962"/>
      <c r="E132" s="1004"/>
      <c r="F132" s="316">
        <v>798.4</v>
      </c>
      <c r="G132" s="310">
        <v>0.1</v>
      </c>
      <c r="H132" s="750">
        <v>-0.75</v>
      </c>
      <c r="I132" s="721">
        <v>0.11</v>
      </c>
      <c r="J132" s="1007"/>
      <c r="K132" s="1010"/>
      <c r="L132" s="1013"/>
      <c r="O132" s="95"/>
      <c r="P132" s="95"/>
      <c r="Q132" s="95"/>
      <c r="R132" s="95"/>
      <c r="T132" s="173"/>
      <c r="U132" s="95"/>
      <c r="V132" s="95"/>
    </row>
    <row r="133" spans="1:22" ht="30" customHeight="1" thickBot="1" x14ac:dyDescent="0.25">
      <c r="A133" s="190"/>
      <c r="B133" s="193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O133" s="95"/>
      <c r="P133" s="95"/>
      <c r="Q133" s="95"/>
      <c r="R133" s="95"/>
      <c r="T133" s="173"/>
      <c r="U133" s="95"/>
      <c r="V133" s="95"/>
    </row>
    <row r="134" spans="1:22" ht="30" customHeight="1" x14ac:dyDescent="0.2">
      <c r="A134" s="973" t="s">
        <v>339</v>
      </c>
      <c r="B134" s="960"/>
      <c r="C134" s="945" t="s">
        <v>351</v>
      </c>
      <c r="D134" s="960" t="s">
        <v>271</v>
      </c>
      <c r="E134" s="1002" t="s">
        <v>303</v>
      </c>
      <c r="F134" s="306">
        <v>15.3</v>
      </c>
      <c r="G134" s="301">
        <v>0.1</v>
      </c>
      <c r="H134" s="302">
        <v>-0.1</v>
      </c>
      <c r="I134" s="751">
        <v>0.2</v>
      </c>
      <c r="J134" s="1035">
        <v>2</v>
      </c>
      <c r="K134" s="1027">
        <v>43252</v>
      </c>
      <c r="L134" s="1032" t="s">
        <v>395</v>
      </c>
      <c r="O134" s="220"/>
      <c r="P134" s="221" t="s">
        <v>336</v>
      </c>
      <c r="Q134" s="222" t="s">
        <v>337</v>
      </c>
      <c r="R134" s="222" t="s">
        <v>338</v>
      </c>
      <c r="S134" s="925" t="s">
        <v>449</v>
      </c>
      <c r="T134" s="926" t="s">
        <v>450</v>
      </c>
      <c r="U134" s="95"/>
      <c r="V134" s="95"/>
    </row>
    <row r="135" spans="1:22" ht="30" customHeight="1" x14ac:dyDescent="0.2">
      <c r="A135" s="974"/>
      <c r="B135" s="961"/>
      <c r="C135" s="921"/>
      <c r="D135" s="961"/>
      <c r="E135" s="1003"/>
      <c r="F135" s="307">
        <v>24.9</v>
      </c>
      <c r="G135" s="303">
        <v>0.1</v>
      </c>
      <c r="H135" s="305">
        <v>-0.1</v>
      </c>
      <c r="I135" s="752">
        <v>0.2</v>
      </c>
      <c r="J135" s="1034"/>
      <c r="K135" s="1009"/>
      <c r="L135" s="1012"/>
      <c r="O135" s="895" t="s">
        <v>331</v>
      </c>
      <c r="P135" s="322">
        <f>MAX(I134:I136)</f>
        <v>0.3</v>
      </c>
      <c r="Q135" s="315">
        <f>MAX(I137:I139)</f>
        <v>1.7</v>
      </c>
      <c r="R135" s="315">
        <f>MAX(I140:I142)</f>
        <v>0.11</v>
      </c>
      <c r="S135" s="890"/>
      <c r="T135" s="893"/>
      <c r="U135" s="95"/>
      <c r="V135" s="95"/>
    </row>
    <row r="136" spans="1:22" ht="30" customHeight="1" thickBot="1" x14ac:dyDescent="0.25">
      <c r="A136" s="974"/>
      <c r="B136" s="961"/>
      <c r="C136" s="921"/>
      <c r="D136" s="961"/>
      <c r="E136" s="1003"/>
      <c r="F136" s="309">
        <v>29.6</v>
      </c>
      <c r="G136" s="310">
        <v>0.1</v>
      </c>
      <c r="H136" s="320">
        <v>0</v>
      </c>
      <c r="I136" s="753">
        <v>0.3</v>
      </c>
      <c r="J136" s="1034">
        <v>1.96</v>
      </c>
      <c r="K136" s="1009"/>
      <c r="L136" s="1012"/>
      <c r="O136" s="896"/>
      <c r="P136" s="209"/>
      <c r="Q136" s="210"/>
      <c r="R136" s="210"/>
      <c r="S136" s="891"/>
      <c r="T136" s="894"/>
      <c r="U136" s="95"/>
      <c r="V136" s="95"/>
    </row>
    <row r="137" spans="1:22" ht="30" customHeight="1" x14ac:dyDescent="0.2">
      <c r="A137" s="971" t="s">
        <v>340</v>
      </c>
      <c r="B137" s="972"/>
      <c r="C137" s="921"/>
      <c r="D137" s="961"/>
      <c r="E137" s="1003"/>
      <c r="F137" s="306">
        <v>33.4</v>
      </c>
      <c r="G137" s="301">
        <v>0.1</v>
      </c>
      <c r="H137" s="301">
        <v>-3.4</v>
      </c>
      <c r="I137" s="716">
        <v>1.7</v>
      </c>
      <c r="J137" s="1033">
        <v>2</v>
      </c>
      <c r="K137" s="1008">
        <v>43257</v>
      </c>
      <c r="L137" s="1025" t="s">
        <v>396</v>
      </c>
      <c r="O137" s="95"/>
      <c r="P137" s="95"/>
      <c r="Q137" s="95"/>
      <c r="R137" s="95"/>
      <c r="T137" s="173"/>
      <c r="U137" s="95"/>
      <c r="V137" s="95"/>
    </row>
    <row r="138" spans="1:22" ht="30" customHeight="1" x14ac:dyDescent="0.2">
      <c r="A138" s="971"/>
      <c r="B138" s="972"/>
      <c r="C138" s="921"/>
      <c r="D138" s="961"/>
      <c r="E138" s="1003"/>
      <c r="F138" s="307">
        <v>51.3</v>
      </c>
      <c r="G138" s="303">
        <v>0.1</v>
      </c>
      <c r="H138" s="303">
        <v>-1.3</v>
      </c>
      <c r="I138" s="717">
        <v>1.7</v>
      </c>
      <c r="J138" s="1034">
        <v>1.96</v>
      </c>
      <c r="K138" s="1009"/>
      <c r="L138" s="1012"/>
      <c r="O138" s="95"/>
      <c r="P138" s="95"/>
      <c r="Q138" s="95"/>
      <c r="R138" s="95"/>
      <c r="T138" s="173"/>
      <c r="U138" s="95"/>
      <c r="V138" s="95"/>
    </row>
    <row r="139" spans="1:22" ht="30" customHeight="1" thickBot="1" x14ac:dyDescent="0.25">
      <c r="A139" s="971"/>
      <c r="B139" s="972"/>
      <c r="C139" s="921"/>
      <c r="D139" s="961"/>
      <c r="E139" s="1003"/>
      <c r="F139" s="316">
        <v>77.400000000000006</v>
      </c>
      <c r="G139" s="310">
        <v>0.1</v>
      </c>
      <c r="H139" s="310">
        <v>2.6</v>
      </c>
      <c r="I139" s="721">
        <v>1.7</v>
      </c>
      <c r="J139" s="1034"/>
      <c r="K139" s="1009"/>
      <c r="L139" s="1012"/>
      <c r="O139" s="95"/>
      <c r="P139" s="95"/>
      <c r="Q139" s="95"/>
      <c r="R139" s="95"/>
      <c r="T139" s="173"/>
      <c r="U139" s="95"/>
      <c r="V139" s="95"/>
    </row>
    <row r="140" spans="1:22" ht="30" customHeight="1" x14ac:dyDescent="0.2">
      <c r="A140" s="971" t="s">
        <v>405</v>
      </c>
      <c r="B140" s="972"/>
      <c r="C140" s="921"/>
      <c r="D140" s="961"/>
      <c r="E140" s="1003"/>
      <c r="F140" s="306">
        <v>698.4</v>
      </c>
      <c r="G140" s="301">
        <v>0.1</v>
      </c>
      <c r="H140" s="301">
        <v>-0.83</v>
      </c>
      <c r="I140" s="716">
        <v>0.11</v>
      </c>
      <c r="J140" s="1028">
        <v>2</v>
      </c>
      <c r="K140" s="1008">
        <v>43333</v>
      </c>
      <c r="L140" s="1031" t="s">
        <v>448</v>
      </c>
      <c r="O140" s="95"/>
      <c r="P140" s="95"/>
      <c r="Q140" s="95"/>
      <c r="R140" s="95"/>
      <c r="T140" s="96"/>
    </row>
    <row r="141" spans="1:22" ht="30" customHeight="1" x14ac:dyDescent="0.2">
      <c r="A141" s="971"/>
      <c r="B141" s="972"/>
      <c r="C141" s="921"/>
      <c r="D141" s="961"/>
      <c r="E141" s="1003"/>
      <c r="F141" s="307">
        <v>752.7</v>
      </c>
      <c r="G141" s="303">
        <v>0.1</v>
      </c>
      <c r="H141" s="321">
        <v>-0.79</v>
      </c>
      <c r="I141" s="717">
        <v>7.8E-2</v>
      </c>
      <c r="J141" s="1029">
        <v>2</v>
      </c>
      <c r="K141" s="1009">
        <v>42625</v>
      </c>
      <c r="L141" s="1012" t="s">
        <v>306</v>
      </c>
      <c r="O141" s="95"/>
      <c r="P141" s="95"/>
      <c r="Q141" s="95"/>
      <c r="R141" s="95"/>
      <c r="T141" s="96"/>
    </row>
    <row r="142" spans="1:22" ht="30" customHeight="1" thickBot="1" x14ac:dyDescent="0.25">
      <c r="A142" s="977"/>
      <c r="B142" s="978"/>
      <c r="C142" s="922"/>
      <c r="D142" s="962"/>
      <c r="E142" s="1004"/>
      <c r="F142" s="316">
        <v>798.4</v>
      </c>
      <c r="G142" s="310">
        <v>0.1</v>
      </c>
      <c r="H142" s="310">
        <v>-0.74</v>
      </c>
      <c r="I142" s="721">
        <v>0.11</v>
      </c>
      <c r="J142" s="1030"/>
      <c r="K142" s="1010"/>
      <c r="L142" s="1013"/>
      <c r="O142" s="95"/>
      <c r="P142" s="95"/>
      <c r="Q142" s="95"/>
      <c r="R142" s="95"/>
      <c r="T142" s="96"/>
    </row>
    <row r="143" spans="1:22" ht="30" customHeight="1" thickBot="1" x14ac:dyDescent="0.25">
      <c r="A143" s="238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O143" s="95"/>
      <c r="P143" s="95"/>
      <c r="Q143" s="95"/>
      <c r="R143" s="95"/>
      <c r="T143" s="96"/>
    </row>
    <row r="144" spans="1:22" ht="30" customHeight="1" x14ac:dyDescent="0.2">
      <c r="A144" s="973" t="s">
        <v>339</v>
      </c>
      <c r="B144" s="960"/>
      <c r="C144" s="945" t="s">
        <v>356</v>
      </c>
      <c r="D144" s="960" t="s">
        <v>271</v>
      </c>
      <c r="E144" s="1014" t="s">
        <v>299</v>
      </c>
      <c r="F144" s="306">
        <v>15.2</v>
      </c>
      <c r="G144" s="301">
        <v>0.1</v>
      </c>
      <c r="H144" s="302">
        <v>0</v>
      </c>
      <c r="I144" s="751">
        <v>0.2</v>
      </c>
      <c r="J144" s="1026">
        <v>2</v>
      </c>
      <c r="K144" s="1027">
        <v>43252</v>
      </c>
      <c r="L144" s="1032" t="s">
        <v>397</v>
      </c>
      <c r="O144" s="220"/>
      <c r="P144" s="221" t="s">
        <v>336</v>
      </c>
      <c r="Q144" s="222" t="s">
        <v>337</v>
      </c>
      <c r="R144" s="222" t="s">
        <v>338</v>
      </c>
      <c r="S144" s="925" t="s">
        <v>452</v>
      </c>
      <c r="T144" s="926" t="s">
        <v>453</v>
      </c>
    </row>
    <row r="145" spans="1:20" ht="30" customHeight="1" x14ac:dyDescent="0.2">
      <c r="A145" s="974"/>
      <c r="B145" s="961"/>
      <c r="C145" s="921"/>
      <c r="D145" s="961"/>
      <c r="E145" s="1003"/>
      <c r="F145" s="308">
        <v>24.8</v>
      </c>
      <c r="G145" s="303">
        <v>0.1</v>
      </c>
      <c r="H145" s="305">
        <v>0</v>
      </c>
      <c r="I145" s="752">
        <v>0.2</v>
      </c>
      <c r="J145" s="1006"/>
      <c r="K145" s="1009"/>
      <c r="L145" s="1012"/>
      <c r="O145" s="895" t="s">
        <v>364</v>
      </c>
      <c r="P145" s="322">
        <f>MAX(I144:I146)</f>
        <v>0.3</v>
      </c>
      <c r="Q145" s="315">
        <f>MAX(I147:I149)</f>
        <v>1.7</v>
      </c>
      <c r="R145" s="315">
        <f>MAX(I150:I152)</f>
        <v>7.8E-2</v>
      </c>
      <c r="S145" s="890"/>
      <c r="T145" s="893"/>
    </row>
    <row r="146" spans="1:20" ht="30" customHeight="1" thickBot="1" x14ac:dyDescent="0.25">
      <c r="A146" s="974"/>
      <c r="B146" s="961"/>
      <c r="C146" s="921"/>
      <c r="D146" s="961"/>
      <c r="E146" s="1003"/>
      <c r="F146" s="309">
        <v>29.6</v>
      </c>
      <c r="G146" s="310">
        <v>0.1</v>
      </c>
      <c r="H146" s="320">
        <v>0</v>
      </c>
      <c r="I146" s="768">
        <v>0.3</v>
      </c>
      <c r="J146" s="1006"/>
      <c r="K146" s="1009"/>
      <c r="L146" s="1012"/>
      <c r="O146" s="896"/>
      <c r="P146" s="209"/>
      <c r="Q146" s="210"/>
      <c r="R146" s="210"/>
      <c r="S146" s="891"/>
      <c r="T146" s="894"/>
    </row>
    <row r="147" spans="1:20" ht="30" customHeight="1" x14ac:dyDescent="0.2">
      <c r="A147" s="971" t="s">
        <v>340</v>
      </c>
      <c r="B147" s="972"/>
      <c r="C147" s="921"/>
      <c r="D147" s="961"/>
      <c r="E147" s="1003"/>
      <c r="F147" s="306">
        <v>33.5</v>
      </c>
      <c r="G147" s="301">
        <v>0.1</v>
      </c>
      <c r="H147" s="301">
        <v>-3.5</v>
      </c>
      <c r="I147" s="716">
        <v>1.7</v>
      </c>
      <c r="J147" s="1024">
        <v>2</v>
      </c>
      <c r="K147" s="1008">
        <v>43257</v>
      </c>
      <c r="L147" s="1025" t="s">
        <v>398</v>
      </c>
      <c r="O147" s="95"/>
      <c r="P147" s="95"/>
      <c r="Q147" s="95"/>
      <c r="R147" s="95"/>
      <c r="T147" s="96"/>
    </row>
    <row r="148" spans="1:20" ht="30" customHeight="1" x14ac:dyDescent="0.2">
      <c r="A148" s="971"/>
      <c r="B148" s="972"/>
      <c r="C148" s="921"/>
      <c r="D148" s="961"/>
      <c r="E148" s="1003"/>
      <c r="F148" s="307">
        <v>51.2</v>
      </c>
      <c r="G148" s="303">
        <v>0.1</v>
      </c>
      <c r="H148" s="303">
        <v>-1.2</v>
      </c>
      <c r="I148" s="718">
        <v>1.7</v>
      </c>
      <c r="J148" s="1006"/>
      <c r="K148" s="1009"/>
      <c r="L148" s="1012"/>
      <c r="O148" s="95"/>
      <c r="P148" s="95"/>
      <c r="Q148" s="95"/>
      <c r="R148" s="95"/>
      <c r="T148" s="96"/>
    </row>
    <row r="149" spans="1:20" ht="30" customHeight="1" thickBot="1" x14ac:dyDescent="0.25">
      <c r="A149" s="971"/>
      <c r="B149" s="972"/>
      <c r="C149" s="921"/>
      <c r="D149" s="961"/>
      <c r="E149" s="1003"/>
      <c r="F149" s="316">
        <v>77.099999999999994</v>
      </c>
      <c r="G149" s="310">
        <v>0.1</v>
      </c>
      <c r="H149" s="310">
        <v>2.9</v>
      </c>
      <c r="I149" s="769">
        <v>1.7</v>
      </c>
      <c r="J149" s="1006"/>
      <c r="K149" s="1009"/>
      <c r="L149" s="1012"/>
      <c r="O149" s="95"/>
      <c r="P149" s="95"/>
      <c r="Q149" s="95"/>
      <c r="R149" s="95"/>
      <c r="T149" s="96"/>
    </row>
    <row r="150" spans="1:20" ht="30" customHeight="1" x14ac:dyDescent="0.2">
      <c r="A150" s="971" t="s">
        <v>405</v>
      </c>
      <c r="B150" s="972"/>
      <c r="C150" s="921"/>
      <c r="D150" s="961"/>
      <c r="E150" s="1003"/>
      <c r="F150" s="312">
        <v>698.3</v>
      </c>
      <c r="G150" s="301">
        <v>0.1</v>
      </c>
      <c r="H150" s="301">
        <v>-0.88</v>
      </c>
      <c r="I150" s="716">
        <v>6.5000000000000002E-2</v>
      </c>
      <c r="J150" s="1028">
        <v>1.96</v>
      </c>
      <c r="K150" s="1008">
        <v>43333</v>
      </c>
      <c r="L150" s="1031" t="s">
        <v>451</v>
      </c>
      <c r="O150" s="96"/>
      <c r="T150" s="96"/>
    </row>
    <row r="151" spans="1:20" ht="30" customHeight="1" x14ac:dyDescent="0.2">
      <c r="A151" s="971"/>
      <c r="B151" s="972"/>
      <c r="C151" s="921"/>
      <c r="D151" s="961"/>
      <c r="E151" s="1003"/>
      <c r="F151" s="307">
        <v>752.7</v>
      </c>
      <c r="G151" s="303">
        <v>0.1</v>
      </c>
      <c r="H151" s="321">
        <v>-0.79200000000000004</v>
      </c>
      <c r="I151" s="717">
        <v>7.8E-2</v>
      </c>
      <c r="J151" s="1029">
        <v>1.96</v>
      </c>
      <c r="K151" s="1009">
        <v>42586</v>
      </c>
      <c r="L151" s="1012" t="s">
        <v>301</v>
      </c>
      <c r="O151" s="96"/>
      <c r="T151" s="96"/>
    </row>
    <row r="152" spans="1:20" ht="30" customHeight="1" thickBot="1" x14ac:dyDescent="0.25">
      <c r="A152" s="977"/>
      <c r="B152" s="978"/>
      <c r="C152" s="922"/>
      <c r="D152" s="962"/>
      <c r="E152" s="1004"/>
      <c r="F152" s="316">
        <v>798.4</v>
      </c>
      <c r="G152" s="310">
        <v>0.1</v>
      </c>
      <c r="H152" s="310">
        <v>-0.77</v>
      </c>
      <c r="I152" s="721">
        <v>7.5999999999999998E-2</v>
      </c>
      <c r="J152" s="1030">
        <v>2</v>
      </c>
      <c r="K152" s="1010">
        <v>42625</v>
      </c>
      <c r="L152" s="1013" t="s">
        <v>302</v>
      </c>
      <c r="O152" s="96"/>
      <c r="T152" s="96"/>
    </row>
    <row r="153" spans="1:20" ht="30" customHeight="1" thickBot="1" x14ac:dyDescent="0.25"/>
    <row r="154" spans="1:20" ht="30" customHeight="1" thickBot="1" x14ac:dyDescent="0.25">
      <c r="A154" s="997" t="s">
        <v>406</v>
      </c>
      <c r="B154" s="998"/>
      <c r="C154" s="998"/>
      <c r="D154" s="998"/>
      <c r="E154" s="998"/>
      <c r="F154" s="999"/>
      <c r="H154" s="997" t="s">
        <v>282</v>
      </c>
      <c r="I154" s="998"/>
      <c r="J154" s="998"/>
      <c r="K154" s="999"/>
    </row>
    <row r="155" spans="1:20" ht="30" customHeight="1" thickBot="1" x14ac:dyDescent="0.25">
      <c r="A155" s="709" t="s">
        <v>151</v>
      </c>
      <c r="B155" s="1086" t="s">
        <v>407</v>
      </c>
      <c r="C155" s="984"/>
      <c r="D155" s="984"/>
      <c r="E155" s="984"/>
      <c r="F155" s="985"/>
      <c r="H155" s="994" t="s">
        <v>477</v>
      </c>
      <c r="I155" s="995"/>
      <c r="J155" s="995"/>
      <c r="K155" s="996"/>
    </row>
    <row r="156" spans="1:20" ht="30" customHeight="1" x14ac:dyDescent="0.2">
      <c r="A156" s="327"/>
      <c r="B156" s="1087"/>
      <c r="C156" s="1088"/>
      <c r="D156" s="1089"/>
      <c r="E156" s="1090"/>
      <c r="F156" s="710"/>
      <c r="H156" s="240">
        <v>5</v>
      </c>
      <c r="I156" s="241" t="s">
        <v>207</v>
      </c>
      <c r="J156" s="242">
        <v>8200</v>
      </c>
      <c r="K156" s="131"/>
    </row>
    <row r="157" spans="1:20" ht="30" customHeight="1" x14ac:dyDescent="0.2">
      <c r="A157" s="249" t="s">
        <v>250</v>
      </c>
      <c r="B157" s="1084" t="s">
        <v>251</v>
      </c>
      <c r="C157" s="1084"/>
      <c r="D157" s="1084" t="s">
        <v>463</v>
      </c>
      <c r="E157" s="1084"/>
      <c r="F157" s="707" t="s">
        <v>464</v>
      </c>
      <c r="H157" s="800">
        <v>7.8E-2</v>
      </c>
      <c r="I157" s="247"/>
      <c r="J157" s="801">
        <v>5.5999999999999997E-6</v>
      </c>
      <c r="K157" s="248"/>
    </row>
    <row r="158" spans="1:20" ht="30" customHeight="1" thickBot="1" x14ac:dyDescent="0.25">
      <c r="A158" s="249" t="s">
        <v>253</v>
      </c>
      <c r="B158" s="1084" t="s">
        <v>254</v>
      </c>
      <c r="C158" s="1084"/>
      <c r="D158" s="1084" t="s">
        <v>465</v>
      </c>
      <c r="E158" s="1084"/>
      <c r="F158" s="707" t="s">
        <v>464</v>
      </c>
    </row>
    <row r="159" spans="1:20" ht="42.75" customHeight="1" thickBot="1" x14ac:dyDescent="0.25">
      <c r="A159" s="257" t="s">
        <v>259</v>
      </c>
      <c r="B159" s="1085" t="s">
        <v>260</v>
      </c>
      <c r="C159" s="1085"/>
      <c r="D159" s="1085" t="s">
        <v>464</v>
      </c>
      <c r="E159" s="1085"/>
      <c r="F159" s="711" t="s">
        <v>464</v>
      </c>
      <c r="G159" s="708" t="s">
        <v>342</v>
      </c>
      <c r="H159" s="323" t="str">
        <f>D99</f>
        <v>Fabricante</v>
      </c>
      <c r="I159" s="324" t="str">
        <f>E99</f>
        <v>Identificación / Serie</v>
      </c>
      <c r="J159" s="324" t="str">
        <f>S99</f>
        <v>Fecha de Calibración</v>
      </c>
      <c r="K159" s="324" t="str">
        <f>T99</f>
        <v>Trazabilidad y numero</v>
      </c>
      <c r="L159" s="325" t="s">
        <v>336</v>
      </c>
      <c r="M159" s="324" t="s">
        <v>337</v>
      </c>
      <c r="N159" s="324" t="s">
        <v>338</v>
      </c>
      <c r="O159" s="325" t="s">
        <v>454</v>
      </c>
      <c r="P159" s="325" t="s">
        <v>455</v>
      </c>
      <c r="Q159" s="325" t="s">
        <v>456</v>
      </c>
      <c r="R159" s="325" t="s">
        <v>457</v>
      </c>
      <c r="S159" s="324" t="s">
        <v>458</v>
      </c>
      <c r="T159" s="326" t="s">
        <v>459</v>
      </c>
    </row>
    <row r="160" spans="1:20" ht="50.1" customHeight="1" thickBot="1" x14ac:dyDescent="0.25">
      <c r="G160" s="770"/>
      <c r="H160" s="771"/>
      <c r="I160" s="771"/>
      <c r="J160" s="771"/>
      <c r="K160" s="771"/>
      <c r="L160" s="771"/>
      <c r="M160" s="771"/>
      <c r="N160" s="771"/>
      <c r="O160" s="771"/>
      <c r="P160" s="772"/>
      <c r="Q160" s="772"/>
      <c r="R160" s="772"/>
      <c r="S160" s="772"/>
      <c r="T160" s="269"/>
    </row>
    <row r="161" spans="7:20" ht="50.1" customHeight="1" x14ac:dyDescent="0.2">
      <c r="G161" s="773" t="str">
        <f>O103</f>
        <v>V-002</v>
      </c>
      <c r="H161" s="343" t="str">
        <f>D102</f>
        <v>Lufft Opus 20</v>
      </c>
      <c r="I161" s="774" t="str">
        <f>E102</f>
        <v>0,23.0714.0802.024</v>
      </c>
      <c r="J161" s="775" t="str">
        <f>S102</f>
        <v>2018-06-07 / - 2018-06-13 -    2018-08-21</v>
      </c>
      <c r="K161" s="776" t="str">
        <f>T102</f>
        <v>INM  3392- 3399-2268</v>
      </c>
      <c r="L161" s="343">
        <f>P103</f>
        <v>0.2</v>
      </c>
      <c r="M161" s="343">
        <f t="shared" ref="M161:N161" si="9">Q103</f>
        <v>1.7</v>
      </c>
      <c r="N161" s="343">
        <f t="shared" si="9"/>
        <v>0.19</v>
      </c>
      <c r="O161" s="351">
        <f>SLOPE(H102:H104,F102:F104)</f>
        <v>7.4404761904761918E-3</v>
      </c>
      <c r="P161" s="351">
        <f>INTERCEPT(H102:H104,F102:F104)</f>
        <v>-0.20669642857142859</v>
      </c>
      <c r="Q161" s="351">
        <f>SLOPE(H105:H107,F105:F107)</f>
        <v>0.13461577552970191</v>
      </c>
      <c r="R161" s="351">
        <f>INTERCEPT(H105:H107,F105:F107)</f>
        <v>-7.6711748643136408</v>
      </c>
      <c r="S161" s="351">
        <f>SLOPE(H108:H110,F108:F110)</f>
        <v>1.2758410581608821E-3</v>
      </c>
      <c r="T161" s="777">
        <f>INTERCEPT(H108:H110,F108:F110)</f>
        <v>-1.8232497640404244</v>
      </c>
    </row>
    <row r="162" spans="7:20" ht="50.1" customHeight="1" x14ac:dyDescent="0.2">
      <c r="G162" s="328" t="str">
        <f>O135</f>
        <v>M-010</v>
      </c>
      <c r="H162" s="329" t="str">
        <f>D134</f>
        <v>Lufft Opus 20</v>
      </c>
      <c r="I162" s="330" t="str">
        <f>E134</f>
        <v>0,26.0714.0802.024</v>
      </c>
      <c r="J162" s="331" t="str">
        <f>S134</f>
        <v>2018/06/15- 2018/06/15-    2018-08-21</v>
      </c>
      <c r="K162" s="311" t="str">
        <f>T134</f>
        <v>INM 3375 - INM 3381 -   INM 2264</v>
      </c>
      <c r="L162" s="333">
        <f>P135</f>
        <v>0.3</v>
      </c>
      <c r="M162" s="333">
        <f t="shared" ref="M162:N162" si="10">Q135</f>
        <v>1.7</v>
      </c>
      <c r="N162" s="334">
        <f t="shared" si="10"/>
        <v>0.11</v>
      </c>
      <c r="O162" s="332">
        <f>SLOPE(H134:H136,F134:F136)</f>
        <v>5.9609713245905756E-3</v>
      </c>
      <c r="P162" s="332">
        <f>INTERCEPT(H134:H136,F134:F136)</f>
        <v>-0.20535859948547408</v>
      </c>
      <c r="Q162" s="332">
        <f>SLOPE(H137:H139,F137:F139)</f>
        <v>0.13731524159013078</v>
      </c>
      <c r="R162" s="332">
        <f>INTERCEPT(H137:H139,F137:F139)</f>
        <v>-8.119600220586733</v>
      </c>
      <c r="S162" s="332">
        <f>SLOPE(H140:H142,F140:F142)</f>
        <v>8.9492703987103758E-4</v>
      </c>
      <c r="T162" s="778">
        <f>INTERCEPT(H140:H142,F140:F142)</f>
        <v>-1.4577127920632997</v>
      </c>
    </row>
    <row r="163" spans="7:20" ht="50.1" customHeight="1" x14ac:dyDescent="0.2">
      <c r="G163" s="328" t="str">
        <f>O145</f>
        <v>M-011</v>
      </c>
      <c r="H163" s="329" t="str">
        <f>D144</f>
        <v>Lufft Opus 20</v>
      </c>
      <c r="I163" s="335" t="str">
        <f>E144</f>
        <v>0,22.0714.0802.024</v>
      </c>
      <c r="J163" s="331" t="str">
        <f>S144</f>
        <v>2018-06-01 -/  2018-06-06 -   2018-08-21</v>
      </c>
      <c r="K163" s="311" t="str">
        <f>T144</f>
        <v>INM-3374-INM 3379-INM 2265</v>
      </c>
      <c r="L163" s="333">
        <f>P145</f>
        <v>0.3</v>
      </c>
      <c r="M163" s="333">
        <f t="shared" ref="M163:N163" si="11">Q145</f>
        <v>1.7</v>
      </c>
      <c r="N163" s="334">
        <f t="shared" si="11"/>
        <v>7.8E-2</v>
      </c>
      <c r="O163" s="332">
        <f>SLOPE(H144:H146,F144:F146)</f>
        <v>0</v>
      </c>
      <c r="P163" s="332">
        <f>INTERCEPT(H144:H146,F144:F146)</f>
        <v>0</v>
      </c>
      <c r="Q163" s="332">
        <f>SLOPE(H147:H149,F147:F149)</f>
        <v>0.14763644430271813</v>
      </c>
      <c r="R163" s="332">
        <f>INTERCEPT(H147:H149,F147:F149)</f>
        <v>-8.5625255627265986</v>
      </c>
      <c r="S163" s="332">
        <f>SLOPE(H150:H152,F150:F152)</f>
        <v>1.1151948584603253E-3</v>
      </c>
      <c r="T163" s="778">
        <f>INTERCEPT(H150:H152,F150:F152)</f>
        <v>-1.6501731048735522</v>
      </c>
    </row>
    <row r="164" spans="7:20" ht="50.1" customHeight="1" x14ac:dyDescent="0.2">
      <c r="G164" s="328" t="str">
        <f>O114</f>
        <v xml:space="preserve">M-012  </v>
      </c>
      <c r="H164" s="329" t="str">
        <f>D113</f>
        <v>Lufft Opus 20</v>
      </c>
      <c r="I164" s="330">
        <f>E113</f>
        <v>19506160802033</v>
      </c>
      <c r="J164" s="331" t="str">
        <f>S113</f>
        <v>2018-06-07 /-  2018-06-13 -/  2018-08-21</v>
      </c>
      <c r="K164" s="311" t="str">
        <f>T113</f>
        <v>INM-3391, INM 3398 - INM 2266</v>
      </c>
      <c r="L164" s="329">
        <f>P114</f>
        <v>0.4</v>
      </c>
      <c r="M164" s="329">
        <f t="shared" ref="M164:N164" si="12">Q114</f>
        <v>1.7</v>
      </c>
      <c r="N164" s="329">
        <f t="shared" si="12"/>
        <v>0.18</v>
      </c>
      <c r="O164" s="332">
        <f>SLOPE(H113:H115,F113:F115)</f>
        <v>1.5733490914462994E-2</v>
      </c>
      <c r="P164" s="332">
        <f>INTERCEPT(H113:H115,F113:F115)</f>
        <v>-0.39123947407297976</v>
      </c>
      <c r="Q164" s="332">
        <f>SLOPE(H116:H118,F116:F118)</f>
        <v>0.12188723493054039</v>
      </c>
      <c r="R164" s="332">
        <f>INTERCEPT(H116:H118,F116:F118)</f>
        <v>-6.5754450119575232</v>
      </c>
      <c r="S164" s="332">
        <f>SLOPE(H119:H121,F119:F121)</f>
        <v>2.8216127134855539E-3</v>
      </c>
      <c r="T164" s="778">
        <f>INTERCEPT(H119:H121,F119:F121)</f>
        <v>-2.8290725996619179</v>
      </c>
    </row>
    <row r="165" spans="7:20" ht="50.1" customHeight="1" thickBot="1" x14ac:dyDescent="0.25">
      <c r="G165" s="336" t="str">
        <f>O125</f>
        <v xml:space="preserve">M-013  </v>
      </c>
      <c r="H165" s="340" t="str">
        <f>D124</f>
        <v>Lufft Opus 20</v>
      </c>
      <c r="I165" s="337">
        <f>E124</f>
        <v>19406160802033</v>
      </c>
      <c r="J165" s="338" t="str">
        <f>S124</f>
        <v>2018-06-14 - / 2018-06-15 -    2018-08-21</v>
      </c>
      <c r="K165" s="339" t="str">
        <f>T124</f>
        <v>INM 3411 - INM 3412 -  INM 2267</v>
      </c>
      <c r="L165" s="340">
        <f>P125</f>
        <v>0.4</v>
      </c>
      <c r="M165" s="340">
        <f t="shared" ref="M165:N165" si="13">Q125</f>
        <v>1.7</v>
      </c>
      <c r="N165" s="340">
        <f t="shared" si="13"/>
        <v>0.11</v>
      </c>
      <c r="O165" s="341">
        <f>SLOPE(H124:H126,F124:F126)</f>
        <v>-5.2446913490004025E-3</v>
      </c>
      <c r="P165" s="341">
        <f>INTERCEPT(H124:H126,F124:F126)</f>
        <v>9.6909835166843317E-2</v>
      </c>
      <c r="Q165" s="341">
        <f>SLOPE(H127:H129,F127:F129)</f>
        <v>9.4154637161561874E-2</v>
      </c>
      <c r="R165" s="341">
        <f>INTERCEPT(H127:H129,F127:F129)</f>
        <v>-5.5686579671974146</v>
      </c>
      <c r="S165" s="341">
        <f>SLOPE(H130:H132,F130:F132)</f>
        <v>8.5645586858455974E-4</v>
      </c>
      <c r="T165" s="779">
        <f>INTERCEPT(H130:H132,F130:F132)</f>
        <v>-1.3988943739892754</v>
      </c>
    </row>
    <row r="199" spans="64:67" ht="35.1" customHeight="1" x14ac:dyDescent="0.25">
      <c r="BL199" s="266"/>
      <c r="BM199" s="266"/>
      <c r="BN199" s="266"/>
      <c r="BO199" s="266"/>
    </row>
    <row r="200" spans="64:67" ht="35.1" customHeight="1" x14ac:dyDescent="0.25">
      <c r="BL200" s="266"/>
      <c r="BM200" s="266"/>
      <c r="BN200" s="266"/>
      <c r="BO200" s="266"/>
    </row>
    <row r="201" spans="64:67" ht="35.1" customHeight="1" x14ac:dyDescent="0.25">
      <c r="BL201" s="266"/>
      <c r="BM201" s="266"/>
      <c r="BN201" s="266"/>
      <c r="BO201" s="266"/>
    </row>
    <row r="202" spans="64:67" ht="35.1" customHeight="1" x14ac:dyDescent="0.25">
      <c r="BL202" s="266"/>
      <c r="BM202" s="266"/>
      <c r="BN202" s="266"/>
      <c r="BO202" s="266"/>
    </row>
  </sheetData>
  <mergeCells count="162">
    <mergeCell ref="A154:F154"/>
    <mergeCell ref="B157:C157"/>
    <mergeCell ref="D157:E157"/>
    <mergeCell ref="B158:C158"/>
    <mergeCell ref="D158:E158"/>
    <mergeCell ref="B159:C159"/>
    <mergeCell ref="D159:E159"/>
    <mergeCell ref="B155:F155"/>
    <mergeCell ref="B156:C156"/>
    <mergeCell ref="D156:E156"/>
    <mergeCell ref="M5:M6"/>
    <mergeCell ref="N5:N6"/>
    <mergeCell ref="C3:N4"/>
    <mergeCell ref="B28:B32"/>
    <mergeCell ref="R25:R26"/>
    <mergeCell ref="C23:R24"/>
    <mergeCell ref="B73:B88"/>
    <mergeCell ref="B55:B70"/>
    <mergeCell ref="B38:B54"/>
    <mergeCell ref="Q25:Q26"/>
    <mergeCell ref="O25:O26"/>
    <mergeCell ref="C25:C26"/>
    <mergeCell ref="D25:D26"/>
    <mergeCell ref="E25:E26"/>
    <mergeCell ref="F25:F26"/>
    <mergeCell ref="G25:G26"/>
    <mergeCell ref="H25:H26"/>
    <mergeCell ref="I25:I26"/>
    <mergeCell ref="J25:J26"/>
    <mergeCell ref="M25:M26"/>
    <mergeCell ref="N25:N26"/>
    <mergeCell ref="K25:K26"/>
    <mergeCell ref="L25:L26"/>
    <mergeCell ref="P25:P2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C12:L13"/>
    <mergeCell ref="C14:C15"/>
    <mergeCell ref="D14:D15"/>
    <mergeCell ref="E14:E15"/>
    <mergeCell ref="F14:F15"/>
    <mergeCell ref="H14:H15"/>
    <mergeCell ref="I14:I15"/>
    <mergeCell ref="J14:J15"/>
    <mergeCell ref="K14:K15"/>
    <mergeCell ref="L14:L15"/>
    <mergeCell ref="G14:G15"/>
    <mergeCell ref="S113:S115"/>
    <mergeCell ref="T113:T115"/>
    <mergeCell ref="A116:B118"/>
    <mergeCell ref="J116:J118"/>
    <mergeCell ref="K116:K118"/>
    <mergeCell ref="L116:L118"/>
    <mergeCell ref="J108:J110"/>
    <mergeCell ref="L99:L100"/>
    <mergeCell ref="O99:O100"/>
    <mergeCell ref="P99:R100"/>
    <mergeCell ref="C102:C110"/>
    <mergeCell ref="O103:O104"/>
    <mergeCell ref="E102:E110"/>
    <mergeCell ref="T102:T104"/>
    <mergeCell ref="D102:D110"/>
    <mergeCell ref="L102:L104"/>
    <mergeCell ref="L105:L107"/>
    <mergeCell ref="L108:L110"/>
    <mergeCell ref="K102:K104"/>
    <mergeCell ref="S99:S100"/>
    <mergeCell ref="T99:T100"/>
    <mergeCell ref="J102:J104"/>
    <mergeCell ref="J105:J107"/>
    <mergeCell ref="A105:B107"/>
    <mergeCell ref="K105:K107"/>
    <mergeCell ref="K108:K110"/>
    <mergeCell ref="A102:B104"/>
    <mergeCell ref="J99:J100"/>
    <mergeCell ref="C113:C121"/>
    <mergeCell ref="K99:K100"/>
    <mergeCell ref="L127:L129"/>
    <mergeCell ref="A124:B126"/>
    <mergeCell ref="D124:D132"/>
    <mergeCell ref="J124:J126"/>
    <mergeCell ref="K124:K126"/>
    <mergeCell ref="A130:B132"/>
    <mergeCell ref="J130:J132"/>
    <mergeCell ref="K130:K132"/>
    <mergeCell ref="A119:B121"/>
    <mergeCell ref="A108:B110"/>
    <mergeCell ref="A113:B115"/>
    <mergeCell ref="D113:D121"/>
    <mergeCell ref="J113:J115"/>
    <mergeCell ref="K113:K115"/>
    <mergeCell ref="L113:L115"/>
    <mergeCell ref="S134:S136"/>
    <mergeCell ref="T134:T136"/>
    <mergeCell ref="A137:B139"/>
    <mergeCell ref="J137:J139"/>
    <mergeCell ref="K137:K139"/>
    <mergeCell ref="L137:L139"/>
    <mergeCell ref="L130:L132"/>
    <mergeCell ref="A134:B136"/>
    <mergeCell ref="D134:D142"/>
    <mergeCell ref="J134:J136"/>
    <mergeCell ref="K134:K136"/>
    <mergeCell ref="L134:L136"/>
    <mergeCell ref="A140:B142"/>
    <mergeCell ref="J140:J142"/>
    <mergeCell ref="K140:K142"/>
    <mergeCell ref="L140:L142"/>
    <mergeCell ref="C124:C132"/>
    <mergeCell ref="C134:C142"/>
    <mergeCell ref="L124:L126"/>
    <mergeCell ref="S124:S126"/>
    <mergeCell ref="T124:T126"/>
    <mergeCell ref="A127:B129"/>
    <mergeCell ref="J127:J129"/>
    <mergeCell ref="K127:K129"/>
    <mergeCell ref="S144:S146"/>
    <mergeCell ref="A147:B149"/>
    <mergeCell ref="J147:J149"/>
    <mergeCell ref="K147:K149"/>
    <mergeCell ref="L147:L149"/>
    <mergeCell ref="A144:B146"/>
    <mergeCell ref="D144:D152"/>
    <mergeCell ref="J144:J146"/>
    <mergeCell ref="K144:K146"/>
    <mergeCell ref="A150:B152"/>
    <mergeCell ref="J150:J152"/>
    <mergeCell ref="K150:K152"/>
    <mergeCell ref="C144:C152"/>
    <mergeCell ref="L150:L152"/>
    <mergeCell ref="L144:L146"/>
    <mergeCell ref="T144:T146"/>
    <mergeCell ref="H154:K154"/>
    <mergeCell ref="H155:K155"/>
    <mergeCell ref="L5:L6"/>
    <mergeCell ref="O114:O115"/>
    <mergeCell ref="O125:O126"/>
    <mergeCell ref="O135:O136"/>
    <mergeCell ref="O145:O146"/>
    <mergeCell ref="E113:E121"/>
    <mergeCell ref="J119:J121"/>
    <mergeCell ref="K119:K121"/>
    <mergeCell ref="L119:L121"/>
    <mergeCell ref="E124:E132"/>
    <mergeCell ref="E134:E142"/>
    <mergeCell ref="E144:E152"/>
    <mergeCell ref="C96:T97"/>
    <mergeCell ref="C98:T98"/>
    <mergeCell ref="D99:D100"/>
    <mergeCell ref="E99:E100"/>
    <mergeCell ref="F99:F100"/>
    <mergeCell ref="G99:G100"/>
    <mergeCell ref="H99:H100"/>
    <mergeCell ref="I99:I100"/>
    <mergeCell ref="S102:S104"/>
  </mergeCells>
  <pageMargins left="0.7" right="0.7" top="0.75" bottom="0.75" header="0.3" footer="0.3"/>
  <pageSetup scale="10" orientation="landscape" horizontalDpi="4294967293" r:id="rId1"/>
  <rowBreaks count="2" manualBreakCount="2">
    <brk id="89" max="16383" man="1"/>
    <brk id="112" max="19" man="1"/>
  </rowBreaks>
  <ignoredErrors>
    <ignoredError sqref="P103:R103 P125:Q125 P135:R135 P145:R145 O161:O165 P161:P165 Q161:Q165 R161:R165 S161:S165 T161:T16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44"/>
  <sheetViews>
    <sheetView showGridLines="0" view="pageBreakPreview" zoomScale="80" zoomScaleNormal="80" zoomScaleSheetLayoutView="80" workbookViewId="0">
      <selection activeCell="C119" sqref="C119"/>
    </sheetView>
  </sheetViews>
  <sheetFormatPr baseColWidth="10" defaultColWidth="15.7109375" defaultRowHeight="35.1" customHeight="1" x14ac:dyDescent="0.2"/>
  <cols>
    <col min="1" max="1" width="16.7109375" style="1" customWidth="1"/>
    <col min="2" max="4" width="16.7109375" style="6" customWidth="1"/>
    <col min="5" max="5" width="20.42578125" style="6" customWidth="1"/>
    <col min="6" max="11" width="16.7109375" style="6" customWidth="1"/>
    <col min="12" max="12" width="16.7109375" style="1" customWidth="1"/>
    <col min="13" max="16384" width="15.7109375" style="1"/>
  </cols>
  <sheetData>
    <row r="1" spans="1:20" ht="35.1" customHeight="1" x14ac:dyDescent="0.2">
      <c r="A1" s="1241"/>
      <c r="B1" s="1242"/>
      <c r="C1" s="1255" t="s">
        <v>378</v>
      </c>
      <c r="D1" s="1256"/>
      <c r="E1" s="1256"/>
      <c r="F1" s="1256"/>
      <c r="G1" s="1256"/>
      <c r="H1" s="1256"/>
      <c r="I1" s="1256"/>
      <c r="J1" s="1256"/>
      <c r="K1" s="1256"/>
      <c r="L1" s="1257"/>
    </row>
    <row r="2" spans="1:20" ht="35.1" customHeight="1" x14ac:dyDescent="0.2">
      <c r="A2" s="1243"/>
      <c r="B2" s="1244"/>
      <c r="C2" s="1258"/>
      <c r="D2" s="1259"/>
      <c r="E2" s="1259"/>
      <c r="F2" s="1259"/>
      <c r="G2" s="1259"/>
      <c r="H2" s="1259"/>
      <c r="I2" s="1259"/>
      <c r="J2" s="1259"/>
      <c r="K2" s="1259"/>
      <c r="L2" s="1260"/>
    </row>
    <row r="3" spans="1:20" ht="35.1" customHeight="1" x14ac:dyDescent="0.2">
      <c r="A3" s="1245"/>
      <c r="B3" s="1246"/>
      <c r="C3" s="1261"/>
      <c r="D3" s="1262"/>
      <c r="E3" s="1262"/>
      <c r="F3" s="1262"/>
      <c r="G3" s="1262"/>
      <c r="H3" s="1262"/>
      <c r="I3" s="1262"/>
      <c r="J3" s="1262"/>
      <c r="K3" s="1262"/>
      <c r="L3" s="1263"/>
    </row>
    <row r="4" spans="1:20" s="5" customFormat="1" ht="1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</row>
    <row r="5" spans="1:20" ht="44.25" customHeight="1" thickBot="1" x14ac:dyDescent="0.25">
      <c r="B5" s="75" t="s">
        <v>7</v>
      </c>
      <c r="C5" s="76" t="s">
        <v>152</v>
      </c>
      <c r="D5" s="76" t="s">
        <v>316</v>
      </c>
      <c r="E5" s="76" t="s">
        <v>153</v>
      </c>
      <c r="F5" s="76" t="s">
        <v>82</v>
      </c>
      <c r="G5" s="77" t="s">
        <v>8</v>
      </c>
      <c r="H5" s="77" t="s">
        <v>75</v>
      </c>
      <c r="I5" s="78" t="s">
        <v>155</v>
      </c>
      <c r="J5" s="1239"/>
      <c r="L5" s="282"/>
    </row>
    <row r="6" spans="1:20" ht="35.1" customHeight="1" thickBot="1" x14ac:dyDescent="0.25">
      <c r="A6" s="8"/>
      <c r="B6" s="72" t="e">
        <f>VLOOKUP($J$5,'DATOS '!$C$7:$K$22,2,FALSE)</f>
        <v>#N/A</v>
      </c>
      <c r="C6" s="82" t="e">
        <f>VLOOKUP($J$5,'DATOS '!$C$7:$K$22,3,FALSE)</f>
        <v>#N/A</v>
      </c>
      <c r="D6" s="72" t="e">
        <f>VLOOKUP($J$5,'DATOS '!$C$7:$K$22,8,FALSE)</f>
        <v>#N/A</v>
      </c>
      <c r="E6" s="72" t="e">
        <f>VLOOKUP($J$5,'DATOS '!$C$7:$K$22,6,FALSE)</f>
        <v>#N/A</v>
      </c>
      <c r="F6" s="82" t="e">
        <f>VLOOKUP($J$5,'DATOS '!$C$7:$K$22,7,FALSE)</f>
        <v>#N/A</v>
      </c>
      <c r="G6" s="72" t="e">
        <f>VLOOKUP($J$5,'DATOS '!$C$7:$K$22,4,FALSE)</f>
        <v>#N/A</v>
      </c>
      <c r="H6" s="72" t="e">
        <f>VLOOKUP($J$5,'DATOS '!$C$7:$K$22,5,FALSE)</f>
        <v>#N/A</v>
      </c>
      <c r="I6" s="72" t="e">
        <f>VLOOKUP($J$5,'DATOS '!$C$7:$K$22,9,FALSE)</f>
        <v>#N/A</v>
      </c>
      <c r="J6" s="1240"/>
      <c r="L6" s="7"/>
    </row>
    <row r="7" spans="1:20" ht="9.9499999999999993" customHeight="1" thickBot="1" x14ac:dyDescent="0.25">
      <c r="B7" s="9"/>
      <c r="C7" s="10"/>
      <c r="D7" s="11"/>
      <c r="E7" s="10"/>
      <c r="F7" s="9"/>
      <c r="G7" s="12"/>
      <c r="H7" s="13"/>
      <c r="I7" s="9"/>
      <c r="J7" s="10"/>
      <c r="K7" s="10"/>
      <c r="L7" s="7"/>
    </row>
    <row r="8" spans="1:20" ht="35.1" customHeight="1" thickBot="1" x14ac:dyDescent="0.25">
      <c r="B8" s="1105" t="s">
        <v>10</v>
      </c>
      <c r="C8" s="1106"/>
      <c r="D8" s="1106"/>
      <c r="E8" s="1107"/>
      <c r="F8" s="284"/>
      <c r="G8" s="14"/>
      <c r="H8" s="283"/>
      <c r="I8" s="14"/>
      <c r="J8" s="14"/>
      <c r="K8" s="14"/>
      <c r="L8" s="14"/>
    </row>
    <row r="9" spans="1:20" ht="35.1" customHeight="1" thickBot="1" x14ac:dyDescent="0.25">
      <c r="B9" s="1264" t="s">
        <v>3</v>
      </c>
      <c r="C9" s="1265"/>
      <c r="D9" s="604" t="e">
        <f>VLOOKUP($F$8,'DATOS '!$C$16:$L$22,2,FALSE)</f>
        <v>#N/A</v>
      </c>
      <c r="E9" s="605"/>
      <c r="F9" s="15"/>
      <c r="G9" s="1105" t="s">
        <v>288</v>
      </c>
      <c r="H9" s="1106"/>
      <c r="I9" s="1106"/>
      <c r="J9" s="1107"/>
      <c r="K9" s="14"/>
      <c r="L9" s="14"/>
    </row>
    <row r="10" spans="1:20" ht="35.1" customHeight="1" thickBot="1" x14ac:dyDescent="0.25">
      <c r="B10" s="1174" t="s">
        <v>9</v>
      </c>
      <c r="C10" s="1175"/>
      <c r="D10" s="79" t="e">
        <f>VLOOKUP($F$8,'DATOS '!$C$16:$L$22,3,FALSE)</f>
        <v>#N/A</v>
      </c>
      <c r="E10" s="606"/>
      <c r="F10" s="15"/>
      <c r="G10" s="1253" t="s">
        <v>290</v>
      </c>
      <c r="H10" s="1254"/>
      <c r="I10" s="1251" t="e">
        <f>VLOOKUP($K$10,'DATOS '!$B$27:$Q$88,1,FALSE)</f>
        <v>#N/A</v>
      </c>
      <c r="J10" s="1252"/>
      <c r="K10" s="285"/>
      <c r="L10" s="14"/>
      <c r="M10" s="16"/>
      <c r="N10" s="16"/>
      <c r="O10" s="16"/>
      <c r="P10" s="16"/>
    </row>
    <row r="11" spans="1:20" ht="35.1" customHeight="1" x14ac:dyDescent="0.2">
      <c r="B11" s="1174" t="s">
        <v>1</v>
      </c>
      <c r="C11" s="1175"/>
      <c r="D11" s="79" t="e">
        <f>VLOOKUP($F$8,'DATOS '!$C$16:$L$22,4,FALSE)</f>
        <v>#N/A</v>
      </c>
      <c r="E11" s="606"/>
      <c r="F11" s="15"/>
      <c r="G11" s="1174" t="s">
        <v>3</v>
      </c>
      <c r="H11" s="1175"/>
      <c r="I11" s="1266" t="e">
        <f>VLOOKUP($K$10,'DATOS '!$B$27:$R$88,4,FALSE)</f>
        <v>#N/A</v>
      </c>
      <c r="J11" s="1267"/>
      <c r="K11" s="14"/>
      <c r="L11" s="14"/>
      <c r="P11" s="16"/>
    </row>
    <row r="12" spans="1:20" s="16" customFormat="1" ht="35.1" customHeight="1" x14ac:dyDescent="0.2">
      <c r="B12" s="1174" t="s">
        <v>328</v>
      </c>
      <c r="C12" s="1250"/>
      <c r="D12" s="81" t="e">
        <f>VLOOKUP($F$8,'DATOS '!$C$16:$L$22,5,FALSE)</f>
        <v>#N/A</v>
      </c>
      <c r="E12" s="606"/>
      <c r="F12" s="17"/>
      <c r="G12" s="1174" t="s">
        <v>0</v>
      </c>
      <c r="H12" s="1175"/>
      <c r="I12" s="1266" t="e">
        <f>VLOOKUP($K$10,'DATOS '!$B$27:$R$88,3,FALSE)</f>
        <v>#N/A</v>
      </c>
      <c r="J12" s="1267"/>
      <c r="K12" s="10"/>
      <c r="L12" s="18"/>
      <c r="Q12" s="1"/>
      <c r="R12" s="1"/>
      <c r="S12" s="1"/>
      <c r="T12" s="1"/>
    </row>
    <row r="13" spans="1:20" s="16" customFormat="1" ht="35.1" customHeight="1" x14ac:dyDescent="0.2">
      <c r="B13" s="1205" t="s">
        <v>48</v>
      </c>
      <c r="C13" s="1206"/>
      <c r="D13" s="81" t="e">
        <f>VLOOKUP($F$8,'DATOS '!$C$16:$L$22,6,FALSE)</f>
        <v>#N/A</v>
      </c>
      <c r="E13" s="606"/>
      <c r="F13" s="17"/>
      <c r="G13" s="1174" t="s">
        <v>2</v>
      </c>
      <c r="H13" s="1175"/>
      <c r="I13" s="1266" t="e">
        <f>VLOOKUP($K$10,'DATOS '!$B$27:$R$88,7,FALSE)</f>
        <v>#N/A</v>
      </c>
      <c r="J13" s="1267"/>
      <c r="K13" s="10"/>
      <c r="L13" s="18"/>
    </row>
    <row r="14" spans="1:20" s="16" customFormat="1" ht="35.1" customHeight="1" x14ac:dyDescent="0.2">
      <c r="B14" s="1207" t="s">
        <v>317</v>
      </c>
      <c r="C14" s="1208"/>
      <c r="D14" s="80" t="e">
        <f>VLOOKUP($F$8,'DATOS '!$C$16:$L$22,7,FALSE)</f>
        <v>#N/A</v>
      </c>
      <c r="E14" s="606"/>
      <c r="F14" s="17"/>
      <c r="G14" s="1174" t="s">
        <v>269</v>
      </c>
      <c r="H14" s="1175"/>
      <c r="I14" s="1268" t="e">
        <f>VLOOKUP($K$10,'DATOS '!$B$27:$R$88,8,FALSE)</f>
        <v>#N/A</v>
      </c>
      <c r="J14" s="1269"/>
      <c r="K14" s="10"/>
      <c r="L14" s="18"/>
    </row>
    <row r="15" spans="1:20" s="16" customFormat="1" ht="35.1" customHeight="1" thickBot="1" x14ac:dyDescent="0.25">
      <c r="B15" s="1176" t="s">
        <v>318</v>
      </c>
      <c r="C15" s="1177"/>
      <c r="D15" s="607" t="e">
        <f>VLOOKUP($F$8,'DATOS '!$C$16:$L$22,8,FALSE)</f>
        <v>#N/A</v>
      </c>
      <c r="E15" s="608"/>
      <c r="F15" s="17"/>
      <c r="G15" s="1178" t="s">
        <v>115</v>
      </c>
      <c r="H15" s="1179"/>
      <c r="I15" s="1180" t="e">
        <f>VLOOKUP($K$10,'DATOS '!$B$27:$R$88,17,FALSE)</f>
        <v>#N/A</v>
      </c>
      <c r="J15" s="1181"/>
      <c r="K15" s="10"/>
      <c r="L15" s="10"/>
    </row>
    <row r="16" spans="1:20" s="16" customFormat="1" ht="9.9499999999999993" customHeight="1" thickBot="1" x14ac:dyDescent="0.3">
      <c r="B16" s="19"/>
      <c r="C16" s="19"/>
      <c r="D16" s="19"/>
      <c r="E16" s="19"/>
      <c r="F16" s="19"/>
      <c r="G16" s="20"/>
      <c r="H16" s="20"/>
      <c r="I16" s="21"/>
      <c r="J16" s="19"/>
      <c r="K16" s="10"/>
      <c r="L16" s="10"/>
    </row>
    <row r="17" spans="1:12" s="16" customFormat="1" ht="35.1" customHeight="1" thickBot="1" x14ac:dyDescent="0.3">
      <c r="B17" s="1154" t="s">
        <v>11</v>
      </c>
      <c r="C17" s="1155"/>
      <c r="D17" s="1106"/>
      <c r="E17" s="1106"/>
      <c r="F17" s="1106"/>
      <c r="G17" s="1106"/>
      <c r="H17" s="1106"/>
      <c r="I17" s="1106"/>
      <c r="J17" s="1107"/>
      <c r="K17" s="10"/>
      <c r="L17" s="10"/>
    </row>
    <row r="18" spans="1:12" s="16" customFormat="1" ht="35.1" customHeight="1" thickBot="1" x14ac:dyDescent="0.3">
      <c r="B18" s="1277" t="s">
        <v>99</v>
      </c>
      <c r="C18" s="1278"/>
      <c r="D18" s="1197"/>
      <c r="E18" s="593"/>
      <c r="F18" s="1199"/>
      <c r="G18" s="1186" t="s">
        <v>319</v>
      </c>
      <c r="H18" s="1187"/>
      <c r="I18" s="1187"/>
      <c r="J18" s="1188"/>
      <c r="K18" s="10"/>
      <c r="L18" s="10"/>
    </row>
    <row r="19" spans="1:12" s="16" customFormat="1" ht="35.1" customHeight="1" thickBot="1" x14ac:dyDescent="0.3">
      <c r="B19" s="1279"/>
      <c r="C19" s="1280"/>
      <c r="D19" s="1198"/>
      <c r="E19" s="594"/>
      <c r="F19" s="1200"/>
      <c r="G19" s="1189" t="s">
        <v>100</v>
      </c>
      <c r="H19" s="1182" t="s">
        <v>135</v>
      </c>
      <c r="I19" s="1182" t="s">
        <v>13</v>
      </c>
      <c r="J19" s="1184" t="s">
        <v>320</v>
      </c>
      <c r="K19" s="10"/>
      <c r="L19" s="10"/>
    </row>
    <row r="20" spans="1:12" s="16" customFormat="1" ht="35.1" customHeight="1" thickBot="1" x14ac:dyDescent="0.3">
      <c r="B20" s="1281"/>
      <c r="C20" s="1282"/>
      <c r="D20" s="1193"/>
      <c r="E20" s="1194"/>
      <c r="F20" s="1194"/>
      <c r="G20" s="1190"/>
      <c r="H20" s="1183"/>
      <c r="I20" s="1183"/>
      <c r="J20" s="1185"/>
      <c r="K20" s="10"/>
      <c r="L20" s="10"/>
    </row>
    <row r="21" spans="1:12" s="16" customFormat="1" ht="35.1" customHeight="1" thickBot="1" x14ac:dyDescent="0.3">
      <c r="B21" s="1277" t="s">
        <v>12</v>
      </c>
      <c r="C21" s="1278"/>
      <c r="D21" s="1195"/>
      <c r="E21" s="1196"/>
      <c r="F21" s="1196"/>
      <c r="G21" s="599" t="e">
        <f>VLOOKUP($K$21,'DATOS '!$C$27:$R$88,8,FALSE)</f>
        <v>#N/A</v>
      </c>
      <c r="H21" s="595" t="e">
        <f>VLOOKUP($K$21,'DATOS '!$C$27:$R$88,12,FALSE)</f>
        <v>#N/A</v>
      </c>
      <c r="I21" s="595" t="e">
        <f>VLOOKUP($K$21,'DATOS '!$C$27:$R$88,13,FALSE)</f>
        <v>#N/A</v>
      </c>
      <c r="J21" s="600" t="e">
        <f>VLOOKUP($K$21,'DATOS '!$C$27:$R$88,5,FALSE)</f>
        <v>#N/A</v>
      </c>
      <c r="K21" s="597"/>
      <c r="L21" s="10"/>
    </row>
    <row r="22" spans="1:12" s="16" customFormat="1" ht="35.1" customHeight="1" thickBot="1" x14ac:dyDescent="0.3">
      <c r="B22" s="1279"/>
      <c r="C22" s="1280"/>
      <c r="D22" s="286"/>
      <c r="E22" s="286"/>
      <c r="F22" s="596"/>
      <c r="G22" s="601" t="e">
        <f>VLOOKUP($K$22,'DATOS '!$C$27:$R$88,8,FALSE)</f>
        <v>#N/A</v>
      </c>
      <c r="H22" s="74" t="e">
        <f>VLOOKUP($K$22,'DATOS '!$C$27:$R$88,12,FALSE)</f>
        <v>#N/A</v>
      </c>
      <c r="I22" s="74" t="e">
        <f>VLOOKUP($K$22,'DATOS '!$C$27:$R$88,13,FALSE)</f>
        <v>#N/A</v>
      </c>
      <c r="J22" s="602" t="e">
        <f>VLOOKUP($K$22,'DATOS '!$C$27:$R$88,5,FALSE)</f>
        <v>#N/A</v>
      </c>
      <c r="K22" s="597"/>
      <c r="L22" s="10"/>
    </row>
    <row r="23" spans="1:12" s="16" customFormat="1" ht="35.1" customHeight="1" thickBot="1" x14ac:dyDescent="0.3">
      <c r="A23" s="19"/>
      <c r="B23" s="1281"/>
      <c r="C23" s="1282"/>
      <c r="D23" s="1201"/>
      <c r="E23" s="1202"/>
      <c r="F23" s="1202"/>
      <c r="G23" s="601" t="e">
        <f>VLOOKUP($K$23,'DATOS '!$C$27:$R$88,8,FALSE)</f>
        <v>#N/A</v>
      </c>
      <c r="H23" s="74" t="e">
        <f>VLOOKUP($K$23,'DATOS '!$C$27:$R$88,12,FALSE)</f>
        <v>#N/A</v>
      </c>
      <c r="I23" s="780" t="e">
        <f>VLOOKUP($K$23,'DATOS '!$C$27:$R$88,13,FALSE)</f>
        <v>#N/A</v>
      </c>
      <c r="J23" s="602" t="e">
        <f>VLOOKUP($K$23,'DATOS '!$C$27:$R$88,5,FALSE)</f>
        <v>#N/A</v>
      </c>
      <c r="K23" s="597"/>
      <c r="L23" s="10"/>
    </row>
    <row r="24" spans="1:12" s="16" customFormat="1" ht="35.1" customHeight="1" thickBot="1" x14ac:dyDescent="0.3">
      <c r="A24" s="19"/>
      <c r="C24" s="1148" t="s">
        <v>377</v>
      </c>
      <c r="D24" s="1149"/>
      <c r="E24" s="609"/>
      <c r="G24" s="601" t="e">
        <f>VLOOKUP($K$24,'DATOS '!$C$27:$R$88,8,FALSE)</f>
        <v>#N/A</v>
      </c>
      <c r="H24" s="74" t="e">
        <f>VLOOKUP($K$24,'DATOS '!$C$27:$R$88,12,FALSE)</f>
        <v>#N/A</v>
      </c>
      <c r="I24" s="780" t="e">
        <f>VLOOKUP($K$24,'DATOS '!$C$27:$R$88,13,FALSE)</f>
        <v>#N/A</v>
      </c>
      <c r="J24" s="602" t="e">
        <f>VLOOKUP($K$24,'DATOS '!$C$27:$R$88,5,FALSE)</f>
        <v>#N/A</v>
      </c>
      <c r="K24" s="597"/>
      <c r="L24" s="10"/>
    </row>
    <row r="25" spans="1:12" s="16" customFormat="1" ht="35.1" customHeight="1" thickBot="1" x14ac:dyDescent="0.3">
      <c r="A25" s="22"/>
      <c r="B25" s="492" t="s">
        <v>287</v>
      </c>
      <c r="C25" s="560" t="s">
        <v>136</v>
      </c>
      <c r="D25" s="610" t="s">
        <v>59</v>
      </c>
      <c r="E25" s="493" t="s">
        <v>157</v>
      </c>
      <c r="G25" s="603" t="e">
        <f>G22+G23+G24+B26</f>
        <v>#N/A</v>
      </c>
      <c r="H25" s="590" t="e">
        <f t="shared" ref="H25:I25" si="0">H22+H23+H24+C26</f>
        <v>#N/A</v>
      </c>
      <c r="I25" s="590" t="e">
        <f t="shared" si="0"/>
        <v>#N/A</v>
      </c>
      <c r="J25" s="592" t="e">
        <f>VLOOKUP($K$24,'DATOS '!$C$27:$R$88,5,FALSE)</f>
        <v>#N/A</v>
      </c>
      <c r="K25" s="10"/>
    </row>
    <row r="26" spans="1:12" s="16" customFormat="1" ht="35.1" customHeight="1" thickBot="1" x14ac:dyDescent="0.3">
      <c r="A26" s="19"/>
      <c r="B26" s="603" t="e">
        <f>VLOOKUP($E$24,'DATOS '!$C$27:$R$88,8,FALSE)</f>
        <v>#N/A</v>
      </c>
      <c r="C26" s="590" t="e">
        <f>VLOOKUP($E$24,'DATOS '!$C$27:$R$88,12,FALSE)</f>
        <v>#N/A</v>
      </c>
      <c r="D26" s="590" t="e">
        <f>VLOOKUP($E$24,'DATOS '!$C$27:$R$88,13,FALSE)</f>
        <v>#N/A</v>
      </c>
      <c r="E26" s="592" t="e">
        <f>VLOOKUP($E$24,'DATOS '!$C$27:$R$88,5,FALSE)</f>
        <v>#N/A</v>
      </c>
      <c r="F26" s="23" t="s">
        <v>113</v>
      </c>
      <c r="G26" s="24">
        <f>5-2</f>
        <v>3</v>
      </c>
      <c r="H26" s="10"/>
      <c r="I26" s="598"/>
    </row>
    <row r="27" spans="1:12" s="16" customFormat="1" ht="36" customHeight="1" thickBot="1" x14ac:dyDescent="0.3">
      <c r="A27" s="19"/>
      <c r="B27" s="1270" t="s">
        <v>329</v>
      </c>
      <c r="C27" s="1271"/>
      <c r="D27" s="1271"/>
      <c r="E27" s="1271"/>
      <c r="F27" s="1271"/>
      <c r="G27" s="1271"/>
      <c r="H27" s="1271"/>
      <c r="I27" s="1271"/>
      <c r="J27" s="1271"/>
      <c r="K27" s="1272"/>
    </row>
    <row r="28" spans="1:12" ht="49.5" customHeight="1" x14ac:dyDescent="0.25">
      <c r="A28" s="19"/>
      <c r="B28" s="583" t="s">
        <v>3</v>
      </c>
      <c r="C28" s="584" t="e">
        <f>VLOOKUP($K$28,'DATOS '!$G$153:$T$166,2,FALSE)</f>
        <v>#N/A</v>
      </c>
      <c r="D28" s="585" t="s">
        <v>81</v>
      </c>
      <c r="E28" s="586" t="e">
        <f>VLOOKUP($K$28,'DATOS '!$G$153:$T$166,3,FALSE)</f>
        <v>#N/A</v>
      </c>
      <c r="F28" s="587" t="s">
        <v>2</v>
      </c>
      <c r="G28" s="1273" t="e">
        <f>VLOOKUP($K$28,'DATOS '!$G$153:$T$166,4,FALSE)</f>
        <v>#N/A</v>
      </c>
      <c r="H28" s="1274"/>
      <c r="I28" s="585" t="s">
        <v>330</v>
      </c>
      <c r="J28" s="588" t="e">
        <f>VLOOKUP($K$28,'DATOS '!$G$153:$T$166,5,FALSE)</f>
        <v>#N/A</v>
      </c>
      <c r="K28" s="1191"/>
    </row>
    <row r="29" spans="1:12" ht="35.1" customHeight="1" thickBot="1" x14ac:dyDescent="0.3">
      <c r="A29" s="19"/>
      <c r="B29" s="1275" t="s">
        <v>332</v>
      </c>
      <c r="C29" s="1276"/>
      <c r="D29" s="589" t="s">
        <v>6</v>
      </c>
      <c r="E29" s="590" t="e">
        <f>VLOOKUP($K$28,'DATOS '!$G$153:$T$166,6,FALSE)</f>
        <v>#N/A</v>
      </c>
      <c r="F29" s="1153" t="s">
        <v>4</v>
      </c>
      <c r="G29" s="1153"/>
      <c r="H29" s="590" t="e">
        <f>VLOOKUP($K$28,'DATOS '!$G$153:$T$166,7,FALSE)</f>
        <v>#N/A</v>
      </c>
      <c r="I29" s="591" t="s">
        <v>5</v>
      </c>
      <c r="J29" s="592" t="e">
        <f>VLOOKUP($K$28,'DATOS '!$G$153:$T$166,8,FALSE)</f>
        <v>#N/A</v>
      </c>
      <c r="K29" s="1192"/>
    </row>
    <row r="30" spans="1:12" ht="35.1" customHeight="1" thickBot="1" x14ac:dyDescent="0.3">
      <c r="A30" s="19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2" ht="35.1" customHeight="1" thickBot="1" x14ac:dyDescent="0.25">
      <c r="A31" s="26"/>
      <c r="B31" s="1105" t="s">
        <v>60</v>
      </c>
      <c r="C31" s="1106"/>
      <c r="D31" s="1106"/>
      <c r="E31" s="1106"/>
      <c r="F31" s="1106"/>
      <c r="G31" s="1106"/>
      <c r="H31" s="1106"/>
      <c r="I31" s="1107"/>
      <c r="K31" s="25" t="s">
        <v>116</v>
      </c>
      <c r="L31" s="10"/>
    </row>
    <row r="32" spans="1:12" ht="38.25" customHeight="1" thickBot="1" x14ac:dyDescent="0.25">
      <c r="B32" s="272" t="s">
        <v>373</v>
      </c>
      <c r="C32" s="289"/>
      <c r="D32" s="28" t="s">
        <v>6</v>
      </c>
      <c r="E32" s="288"/>
      <c r="F32" s="29" t="s">
        <v>4</v>
      </c>
      <c r="G32" s="288"/>
      <c r="H32" s="27" t="s">
        <v>5</v>
      </c>
      <c r="I32" s="287"/>
      <c r="K32" s="30" t="s">
        <v>53</v>
      </c>
      <c r="L32" s="31">
        <f>'DATOS '!M8</f>
        <v>2</v>
      </c>
    </row>
    <row r="33" spans="1:11" ht="35.1" customHeight="1" thickBot="1" x14ac:dyDescent="0.25">
      <c r="A33" s="6"/>
      <c r="B33" s="1105" t="s">
        <v>14</v>
      </c>
      <c r="C33" s="1106"/>
      <c r="D33" s="1106"/>
      <c r="E33" s="1106"/>
      <c r="F33" s="1106"/>
      <c r="G33" s="1107"/>
    </row>
    <row r="34" spans="1:11" ht="35.1" customHeight="1" thickBot="1" x14ac:dyDescent="0.25">
      <c r="A34" s="6"/>
      <c r="C34" s="571" t="s">
        <v>55</v>
      </c>
      <c r="D34" s="571" t="s">
        <v>54</v>
      </c>
      <c r="E34" s="572">
        <f>E19</f>
        <v>0</v>
      </c>
      <c r="F34" s="571" t="s">
        <v>47</v>
      </c>
      <c r="G34" s="572">
        <f>E34*1000</f>
        <v>0</v>
      </c>
    </row>
    <row r="35" spans="1:11" ht="35.1" customHeight="1" x14ac:dyDescent="0.2">
      <c r="A35" s="6"/>
      <c r="B35" s="568" t="s">
        <v>15</v>
      </c>
      <c r="C35" s="573">
        <v>1</v>
      </c>
      <c r="D35" s="574">
        <v>2</v>
      </c>
      <c r="E35" s="574">
        <v>3</v>
      </c>
      <c r="F35" s="574">
        <v>4</v>
      </c>
      <c r="G35" s="575">
        <v>5</v>
      </c>
    </row>
    <row r="36" spans="1:11" ht="35.1" customHeight="1" x14ac:dyDescent="0.2">
      <c r="A36" s="6"/>
      <c r="B36" s="569" t="s">
        <v>321</v>
      </c>
      <c r="C36" s="541"/>
      <c r="D36" s="290"/>
      <c r="E36" s="290"/>
      <c r="F36" s="290"/>
      <c r="G36" s="576">
        <v>5000.1000000000004</v>
      </c>
    </row>
    <row r="37" spans="1:11" ht="35.1" customHeight="1" x14ac:dyDescent="0.2">
      <c r="A37" s="6"/>
      <c r="B37" s="569" t="s">
        <v>16</v>
      </c>
      <c r="C37" s="577">
        <f>$C$36-C36</f>
        <v>0</v>
      </c>
      <c r="D37" s="32">
        <f t="shared" ref="D37:G37" si="1">$C$36-D36</f>
        <v>0</v>
      </c>
      <c r="E37" s="32">
        <f t="shared" si="1"/>
        <v>0</v>
      </c>
      <c r="F37" s="32">
        <f>$C$36-F36</f>
        <v>0</v>
      </c>
      <c r="G37" s="578">
        <f t="shared" si="1"/>
        <v>-5000.1000000000004</v>
      </c>
    </row>
    <row r="38" spans="1:11" ht="35.1" customHeight="1" thickBot="1" x14ac:dyDescent="0.25">
      <c r="A38" s="6"/>
      <c r="B38" s="569" t="s">
        <v>46</v>
      </c>
      <c r="C38" s="579">
        <f>ABS(C37)</f>
        <v>0</v>
      </c>
      <c r="D38" s="580">
        <f t="shared" ref="D38:G38" si="2">ABS(D37)</f>
        <v>0</v>
      </c>
      <c r="E38" s="580">
        <f t="shared" si="2"/>
        <v>0</v>
      </c>
      <c r="F38" s="580">
        <f t="shared" si="2"/>
        <v>0</v>
      </c>
      <c r="G38" s="581">
        <f t="shared" si="2"/>
        <v>5000.1000000000004</v>
      </c>
    </row>
    <row r="39" spans="1:11" ht="35.1" customHeight="1" thickBot="1" x14ac:dyDescent="0.3">
      <c r="A39" s="6"/>
      <c r="B39" s="570" t="s">
        <v>47</v>
      </c>
      <c r="C39" s="582">
        <f>MAX(C38:G38)*1000</f>
        <v>5000100</v>
      </c>
      <c r="D39" s="33"/>
      <c r="E39" s="33"/>
      <c r="F39" s="33"/>
      <c r="G39" s="33"/>
    </row>
    <row r="40" spans="1:11" ht="9.9499999999999993" customHeight="1" thickBot="1" x14ac:dyDescent="0.25">
      <c r="A40" s="6"/>
    </row>
    <row r="41" spans="1:11" ht="35.1" customHeight="1" thickBot="1" x14ac:dyDescent="0.25">
      <c r="B41" s="1105" t="s">
        <v>17</v>
      </c>
      <c r="C41" s="1106"/>
      <c r="D41" s="1106"/>
      <c r="E41" s="1106"/>
      <c r="F41" s="1106"/>
      <c r="G41" s="1106"/>
      <c r="H41" s="1106"/>
      <c r="I41" s="1106"/>
      <c r="J41" s="1106"/>
      <c r="K41" s="1107"/>
    </row>
    <row r="42" spans="1:11" s="34" customFormat="1" ht="35.1" customHeight="1" thickBot="1" x14ac:dyDescent="0.25">
      <c r="B42" s="1247" t="s">
        <v>20</v>
      </c>
      <c r="C42" s="1248"/>
      <c r="D42" s="1248"/>
      <c r="E42" s="1248"/>
      <c r="F42" s="1248"/>
      <c r="G42" s="1248"/>
      <c r="H42" s="1248"/>
      <c r="I42" s="1248"/>
      <c r="J42" s="1249"/>
      <c r="K42" s="725" t="s">
        <v>50</v>
      </c>
    </row>
    <row r="43" spans="1:11" ht="35.1" customHeight="1" x14ac:dyDescent="0.2">
      <c r="A43" s="808" t="s">
        <v>18</v>
      </c>
      <c r="B43" s="552">
        <v>1</v>
      </c>
      <c r="C43" s="553">
        <v>2</v>
      </c>
      <c r="D43" s="553">
        <v>3</v>
      </c>
      <c r="E43" s="553">
        <v>4</v>
      </c>
      <c r="F43" s="553">
        <v>5</v>
      </c>
      <c r="G43" s="553">
        <v>6</v>
      </c>
      <c r="H43" s="553">
        <v>7</v>
      </c>
      <c r="I43" s="553">
        <v>8</v>
      </c>
      <c r="J43" s="553">
        <v>9</v>
      </c>
      <c r="K43" s="554">
        <v>10</v>
      </c>
    </row>
    <row r="44" spans="1:11" ht="35.1" customHeight="1" x14ac:dyDescent="0.2">
      <c r="A44" s="802">
        <f>D22</f>
        <v>0</v>
      </c>
      <c r="B44" s="555"/>
      <c r="C44" s="296"/>
      <c r="D44" s="296"/>
      <c r="E44" s="296"/>
      <c r="F44" s="296"/>
      <c r="G44" s="296"/>
      <c r="H44" s="296"/>
      <c r="I44" s="296"/>
      <c r="J44" s="296"/>
      <c r="K44" s="556"/>
    </row>
    <row r="45" spans="1:11" ht="35.1" customHeight="1" x14ac:dyDescent="0.2">
      <c r="A45" s="802">
        <f>E22</f>
        <v>0</v>
      </c>
      <c r="B45" s="555"/>
      <c r="C45" s="296"/>
      <c r="D45" s="296"/>
      <c r="E45" s="296"/>
      <c r="F45" s="296"/>
      <c r="G45" s="296"/>
      <c r="H45" s="296"/>
      <c r="I45" s="296"/>
      <c r="J45" s="296"/>
      <c r="K45" s="556"/>
    </row>
    <row r="46" spans="1:11" ht="35.1" customHeight="1" thickBot="1" x14ac:dyDescent="0.25">
      <c r="A46" s="803">
        <f>F22</f>
        <v>0</v>
      </c>
      <c r="B46" s="557"/>
      <c r="C46" s="558"/>
      <c r="D46" s="558"/>
      <c r="E46" s="558"/>
      <c r="F46" s="558"/>
      <c r="G46" s="558"/>
      <c r="H46" s="558"/>
      <c r="I46" s="558"/>
      <c r="J46" s="558"/>
      <c r="K46" s="559"/>
    </row>
    <row r="47" spans="1:11" ht="35.1" customHeight="1" x14ac:dyDescent="0.2">
      <c r="B47" s="804" t="s">
        <v>18</v>
      </c>
      <c r="C47" s="805" t="s">
        <v>19</v>
      </c>
      <c r="D47" s="806" t="s">
        <v>63</v>
      </c>
      <c r="E47" s="806" t="s">
        <v>62</v>
      </c>
      <c r="F47" s="807" t="s">
        <v>322</v>
      </c>
      <c r="H47" s="1"/>
      <c r="J47" s="1"/>
      <c r="K47" s="35"/>
    </row>
    <row r="48" spans="1:11" ht="35.1" customHeight="1" thickBot="1" x14ac:dyDescent="0.25">
      <c r="B48" s="561">
        <f>A44</f>
        <v>0</v>
      </c>
      <c r="C48" s="562" t="e">
        <f>AVERAGE(B44:K44)</f>
        <v>#DIV/0!</v>
      </c>
      <c r="D48" s="562" t="e">
        <f>_xlfn.STDEV.S(B44:K44)</f>
        <v>#DIV/0!</v>
      </c>
      <c r="E48" s="562" t="e">
        <f>D48*1000</f>
        <v>#DIV/0!</v>
      </c>
      <c r="F48" s="563" t="e">
        <f>MAX(E48:E50)</f>
        <v>#DIV/0!</v>
      </c>
      <c r="H48" s="1"/>
      <c r="I48" s="1"/>
      <c r="J48" s="7"/>
      <c r="K48" s="1"/>
    </row>
    <row r="49" spans="1:13" ht="35.1" customHeight="1" x14ac:dyDescent="0.2">
      <c r="B49" s="564">
        <f>A45</f>
        <v>0</v>
      </c>
      <c r="C49" s="565" t="e">
        <f t="shared" ref="C49:C50" si="3">AVERAGE(B45:K45)</f>
        <v>#DIV/0!</v>
      </c>
      <c r="D49" s="565" t="e">
        <f t="shared" ref="D49:D50" si="4">_xlfn.STDEV.S(B45:K45)</f>
        <v>#DIV/0!</v>
      </c>
      <c r="E49" s="566" t="e">
        <f t="shared" ref="E49:E50" si="5">D49*1000</f>
        <v>#DIV/0!</v>
      </c>
      <c r="H49" s="1"/>
      <c r="I49" s="1"/>
      <c r="J49" s="7"/>
      <c r="K49" s="1"/>
    </row>
    <row r="50" spans="1:13" ht="35.1" customHeight="1" thickBot="1" x14ac:dyDescent="0.25">
      <c r="A50" s="6"/>
      <c r="B50" s="561">
        <f>A46</f>
        <v>0</v>
      </c>
      <c r="C50" s="562" t="e">
        <f t="shared" si="3"/>
        <v>#DIV/0!</v>
      </c>
      <c r="D50" s="562" t="e">
        <f t="shared" si="4"/>
        <v>#DIV/0!</v>
      </c>
      <c r="E50" s="563" t="e">
        <f t="shared" si="5"/>
        <v>#DIV/0!</v>
      </c>
      <c r="H50" s="1"/>
      <c r="I50" s="7"/>
      <c r="J50" s="7"/>
      <c r="K50" s="7"/>
    </row>
    <row r="51" spans="1:13" ht="29.25" customHeight="1" thickBot="1" x14ac:dyDescent="0.25">
      <c r="A51" s="6"/>
      <c r="B51" s="1"/>
      <c r="C51" s="1"/>
      <c r="D51" s="1"/>
      <c r="E51" s="1"/>
      <c r="F51" s="1"/>
      <c r="G51" s="1"/>
      <c r="H51" s="1"/>
      <c r="I51" s="7"/>
      <c r="J51" s="7"/>
      <c r="K51" s="7"/>
    </row>
    <row r="52" spans="1:13" ht="35.1" customHeight="1" thickBot="1" x14ac:dyDescent="0.25">
      <c r="A52" s="6"/>
      <c r="B52" s="1105" t="s">
        <v>23</v>
      </c>
      <c r="C52" s="1106"/>
      <c r="D52" s="1106"/>
      <c r="E52" s="1106"/>
      <c r="F52" s="1106"/>
      <c r="G52" s="1106"/>
      <c r="H52" s="1106"/>
      <c r="I52" s="1106"/>
      <c r="J52" s="1106"/>
      <c r="K52" s="1106"/>
      <c r="L52" s="1107"/>
    </row>
    <row r="53" spans="1:13" ht="35.1" customHeight="1" thickBot="1" x14ac:dyDescent="0.25">
      <c r="B53" s="1105" t="s">
        <v>107</v>
      </c>
      <c r="C53" s="1106"/>
      <c r="D53" s="1106"/>
      <c r="E53" s="1107"/>
      <c r="F53" s="37"/>
      <c r="G53" s="1105" t="s">
        <v>438</v>
      </c>
      <c r="H53" s="1106"/>
      <c r="I53" s="1106"/>
      <c r="J53" s="1106"/>
      <c r="K53" s="1106"/>
      <c r="L53" s="1107"/>
    </row>
    <row r="54" spans="1:13" ht="35.1" customHeight="1" thickBot="1" x14ac:dyDescent="0.25">
      <c r="A54" s="6"/>
      <c r="B54" s="30" t="s">
        <v>18</v>
      </c>
      <c r="C54" s="620" t="s">
        <v>149</v>
      </c>
      <c r="D54" s="617" t="s">
        <v>35</v>
      </c>
      <c r="E54" s="618" t="s">
        <v>35</v>
      </c>
      <c r="F54" s="37"/>
      <c r="G54" s="615" t="s">
        <v>149</v>
      </c>
      <c r="H54" s="616" t="s">
        <v>323</v>
      </c>
      <c r="I54" s="616"/>
      <c r="J54" s="616"/>
      <c r="K54" s="617" t="s">
        <v>35</v>
      </c>
      <c r="L54" s="618" t="s">
        <v>35</v>
      </c>
    </row>
    <row r="55" spans="1:13" ht="35.1" customHeight="1" x14ac:dyDescent="0.2">
      <c r="A55" s="6"/>
      <c r="B55" s="623" t="e">
        <f>H21</f>
        <v>#N/A</v>
      </c>
      <c r="C55" s="621"/>
      <c r="D55" s="613" t="e">
        <f>C55-B55</f>
        <v>#N/A</v>
      </c>
      <c r="E55" s="619" t="e">
        <f>D55*1000</f>
        <v>#N/A</v>
      </c>
      <c r="F55" s="37"/>
      <c r="G55" s="611"/>
      <c r="H55" s="612"/>
      <c r="I55" s="83" t="e">
        <f>AVERAGE(G55:H55)</f>
        <v>#DIV/0!</v>
      </c>
      <c r="J55" s="299" t="e">
        <f>I55*1000</f>
        <v>#DIV/0!</v>
      </c>
      <c r="K55" s="613" t="e">
        <f>I55-B55</f>
        <v>#DIV/0!</v>
      </c>
      <c r="L55" s="614" t="e">
        <f>K55*1000</f>
        <v>#DIV/0!</v>
      </c>
    </row>
    <row r="56" spans="1:13" ht="35.1" customHeight="1" x14ac:dyDescent="0.2">
      <c r="A56" s="6"/>
      <c r="B56" s="624" t="e">
        <f>H22</f>
        <v>#N/A</v>
      </c>
      <c r="C56" s="567"/>
      <c r="D56" s="38" t="e">
        <f t="shared" ref="D56:D59" si="6">C56-B56</f>
        <v>#N/A</v>
      </c>
      <c r="E56" s="550" t="e">
        <f t="shared" ref="E56:E59" si="7">D56*1000</f>
        <v>#N/A</v>
      </c>
      <c r="F56" s="37"/>
      <c r="G56" s="541"/>
      <c r="H56" s="290"/>
      <c r="I56" s="39" t="e">
        <f>AVERAGE(G56:H56)</f>
        <v>#DIV/0!</v>
      </c>
      <c r="J56" s="36" t="e">
        <f>I56*1000</f>
        <v>#DIV/0!</v>
      </c>
      <c r="K56" s="38" t="e">
        <f>I56-B56</f>
        <v>#DIV/0!</v>
      </c>
      <c r="L56" s="542" t="e">
        <f t="shared" ref="L56:L59" si="8">K56*1000</f>
        <v>#DIV/0!</v>
      </c>
    </row>
    <row r="57" spans="1:13" ht="35.1" customHeight="1" x14ac:dyDescent="0.2">
      <c r="A57" s="6"/>
      <c r="B57" s="624" t="e">
        <f>H23</f>
        <v>#N/A</v>
      </c>
      <c r="C57" s="567"/>
      <c r="D57" s="38" t="e">
        <f t="shared" si="6"/>
        <v>#N/A</v>
      </c>
      <c r="E57" s="550" t="e">
        <f t="shared" si="7"/>
        <v>#N/A</v>
      </c>
      <c r="F57" s="37"/>
      <c r="G57" s="541"/>
      <c r="H57" s="290"/>
      <c r="I57" s="39" t="e">
        <f>AVERAGE(G57:H57)</f>
        <v>#DIV/0!</v>
      </c>
      <c r="J57" s="36" t="e">
        <f t="shared" ref="J57:J59" si="9">I57*1000</f>
        <v>#DIV/0!</v>
      </c>
      <c r="K57" s="38" t="e">
        <f>I57-B57</f>
        <v>#DIV/0!</v>
      </c>
      <c r="L57" s="543" t="e">
        <f t="shared" si="8"/>
        <v>#DIV/0!</v>
      </c>
    </row>
    <row r="58" spans="1:13" ht="35.1" customHeight="1" x14ac:dyDescent="0.2">
      <c r="A58" s="6"/>
      <c r="B58" s="624" t="e">
        <f>H24</f>
        <v>#N/A</v>
      </c>
      <c r="C58" s="567"/>
      <c r="D58" s="38" t="e">
        <f t="shared" si="6"/>
        <v>#N/A</v>
      </c>
      <c r="E58" s="550" t="e">
        <f t="shared" si="7"/>
        <v>#N/A</v>
      </c>
      <c r="F58" s="37"/>
      <c r="G58" s="541"/>
      <c r="H58" s="290"/>
      <c r="I58" s="39" t="e">
        <f>AVERAGE(G58:H58)</f>
        <v>#DIV/0!</v>
      </c>
      <c r="J58" s="36" t="e">
        <f t="shared" si="9"/>
        <v>#DIV/0!</v>
      </c>
      <c r="K58" s="38" t="e">
        <f>I58-B58</f>
        <v>#DIV/0!</v>
      </c>
      <c r="L58" s="543" t="e">
        <f t="shared" si="8"/>
        <v>#DIV/0!</v>
      </c>
    </row>
    <row r="59" spans="1:13" ht="35.1" customHeight="1" thickBot="1" x14ac:dyDescent="0.25">
      <c r="A59" s="6"/>
      <c r="B59" s="625" t="e">
        <f>H25</f>
        <v>#N/A</v>
      </c>
      <c r="C59" s="622"/>
      <c r="D59" s="547" t="e">
        <f t="shared" si="6"/>
        <v>#N/A</v>
      </c>
      <c r="E59" s="551" t="e">
        <f t="shared" si="7"/>
        <v>#N/A</v>
      </c>
      <c r="F59" s="549"/>
      <c r="G59" s="544"/>
      <c r="H59" s="545"/>
      <c r="I59" s="546" t="e">
        <f t="shared" ref="I59" si="10">AVERAGE(G59:H59)</f>
        <v>#DIV/0!</v>
      </c>
      <c r="J59" s="522" t="e">
        <f t="shared" si="9"/>
        <v>#DIV/0!</v>
      </c>
      <c r="K59" s="547" t="e">
        <f>I59-B59</f>
        <v>#DIV/0!</v>
      </c>
      <c r="L59" s="548" t="e">
        <f t="shared" si="8"/>
        <v>#DIV/0!</v>
      </c>
    </row>
    <row r="60" spans="1:13" ht="9.9499999999999993" customHeight="1" thickBot="1" x14ac:dyDescent="0.25">
      <c r="A60" s="6"/>
      <c r="L60" s="6"/>
    </row>
    <row r="61" spans="1:13" ht="35.1" customHeight="1" thickBot="1" x14ac:dyDescent="0.25">
      <c r="A61" s="40"/>
      <c r="B61" s="1154" t="s">
        <v>61</v>
      </c>
      <c r="C61" s="1155"/>
      <c r="D61" s="1155"/>
      <c r="E61" s="1155"/>
      <c r="F61" s="1155"/>
      <c r="G61" s="1155"/>
      <c r="H61" s="1155"/>
      <c r="I61" s="1156"/>
    </row>
    <row r="62" spans="1:13" ht="35.1" customHeight="1" thickBot="1" x14ac:dyDescent="0.25">
      <c r="A62" s="40"/>
      <c r="B62" s="86" t="s">
        <v>372</v>
      </c>
      <c r="C62" s="291"/>
      <c r="D62" s="87" t="s">
        <v>6</v>
      </c>
      <c r="E62" s="292"/>
      <c r="F62" s="87" t="s">
        <v>4</v>
      </c>
      <c r="G62" s="293"/>
      <c r="H62" s="88" t="s">
        <v>5</v>
      </c>
      <c r="I62" s="294"/>
      <c r="J62" s="1"/>
      <c r="K62" s="1233"/>
      <c r="L62" s="1234"/>
    </row>
    <row r="63" spans="1:13" ht="35.1" customHeight="1" thickBot="1" x14ac:dyDescent="0.2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</row>
    <row r="64" spans="1:13" ht="35.1" customHeight="1" thickBot="1" x14ac:dyDescent="0.25">
      <c r="A64" s="85"/>
      <c r="B64" s="1137" t="s">
        <v>367</v>
      </c>
      <c r="C64" s="1138"/>
      <c r="D64" s="87" t="s">
        <v>6</v>
      </c>
      <c r="E64" s="91">
        <f>(E32+E62)/2</f>
        <v>0</v>
      </c>
      <c r="F64" s="87" t="s">
        <v>4</v>
      </c>
      <c r="G64" s="91">
        <f>(G32+G62)/2</f>
        <v>0</v>
      </c>
      <c r="H64" s="88" t="s">
        <v>5</v>
      </c>
      <c r="I64" s="91">
        <f>(I32+I62)/2</f>
        <v>0</v>
      </c>
      <c r="J64" s="270"/>
      <c r="K64" s="1157" t="s">
        <v>379</v>
      </c>
      <c r="L64" s="1158"/>
    </row>
    <row r="65" spans="1:15" ht="38.25" customHeight="1" thickBot="1" x14ac:dyDescent="0.25">
      <c r="A65" s="85"/>
      <c r="B65" s="1139" t="s">
        <v>368</v>
      </c>
      <c r="C65" s="1140"/>
      <c r="D65" s="92" t="s">
        <v>6</v>
      </c>
      <c r="E65" s="297" t="e">
        <f>E64+(VLOOKUP(K28,'DATOS '!G153:T166,9,FALSE))*E64+(VLOOKUP(K28,'DATOS '!G153:T166,10,FALSE))</f>
        <v>#N/A</v>
      </c>
      <c r="F65" s="92" t="s">
        <v>4</v>
      </c>
      <c r="G65" s="408" t="e">
        <f>G64+(VLOOKUP(K28,'DATOS '!G153:T166,11,FALSE))*G64+(VLOOKUP(K28,'DATOS '!G153:T166,12,FALSE))</f>
        <v>#N/A</v>
      </c>
      <c r="H65" s="93" t="s">
        <v>5</v>
      </c>
      <c r="I65" s="297" t="e">
        <f>I64+(VLOOKUP(K28,'DATOS '!G153:T166,13,FALSE))*I64+(VLOOKUP(K28,'DATOS '!G153:T166,14,FALSE))</f>
        <v>#N/A</v>
      </c>
      <c r="K65" s="89" t="e">
        <f>VLOOKUP($K$62,'DATOS '!$A$156:$B$159,2,FALSE)</f>
        <v>#N/A</v>
      </c>
      <c r="L65" s="73"/>
    </row>
    <row r="66" spans="1:15" ht="21.75" customHeight="1" thickBo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5" ht="35.1" customHeight="1" thickBot="1" x14ac:dyDescent="0.25">
      <c r="A67" s="1105" t="s">
        <v>34</v>
      </c>
      <c r="B67" s="1106"/>
      <c r="C67" s="1106"/>
      <c r="D67" s="1106"/>
      <c r="E67" s="1106"/>
      <c r="F67" s="1106"/>
      <c r="G67" s="1106"/>
      <c r="H67" s="1106"/>
      <c r="I67" s="1106"/>
      <c r="J67" s="1106"/>
      <c r="K67" s="1106"/>
      <c r="L67" s="1107"/>
    </row>
    <row r="68" spans="1:15" s="34" customFormat="1" ht="9.9499999999999993" customHeight="1" thickBot="1" x14ac:dyDescent="0.25"/>
    <row r="69" spans="1:15" ht="35.1" customHeight="1" thickBot="1" x14ac:dyDescent="0.25">
      <c r="B69" s="1"/>
      <c r="C69" s="1"/>
      <c r="D69" s="1"/>
      <c r="E69" s="1"/>
      <c r="F69" s="1134" t="s">
        <v>28</v>
      </c>
      <c r="G69" s="1135"/>
      <c r="H69" s="1135"/>
      <c r="I69" s="1135"/>
      <c r="J69" s="1136"/>
      <c r="K69" s="1"/>
    </row>
    <row r="70" spans="1:15" s="7" customFormat="1" ht="35.1" customHeight="1" thickBot="1" x14ac:dyDescent="0.25">
      <c r="D70" s="41"/>
      <c r="F70" s="538" t="e">
        <f>G21</f>
        <v>#N/A</v>
      </c>
      <c r="G70" s="539" t="e">
        <f>G22</f>
        <v>#N/A</v>
      </c>
      <c r="H70" s="539" t="e">
        <f>G23</f>
        <v>#N/A</v>
      </c>
      <c r="I70" s="539" t="e">
        <f>G24</f>
        <v>#N/A</v>
      </c>
      <c r="J70" s="540" t="e">
        <f>G25</f>
        <v>#N/A</v>
      </c>
      <c r="K70" s="1"/>
      <c r="L70" s="1"/>
      <c r="M70" s="1"/>
      <c r="N70" s="1"/>
      <c r="O70" s="1"/>
    </row>
    <row r="71" spans="1:15" s="34" customFormat="1" ht="9.9499999999999993" customHeight="1" thickBot="1" x14ac:dyDescent="0.25">
      <c r="L71" s="1"/>
      <c r="M71" s="1"/>
      <c r="N71" s="1"/>
      <c r="O71" s="1"/>
    </row>
    <row r="72" spans="1:15" ht="35.1" customHeight="1" thickBot="1" x14ac:dyDescent="0.25">
      <c r="B72" s="1111" t="s">
        <v>33</v>
      </c>
      <c r="C72" s="1112"/>
      <c r="D72" s="1113"/>
      <c r="E72" s="34"/>
      <c r="F72" s="1105" t="s">
        <v>49</v>
      </c>
      <c r="G72" s="1106"/>
      <c r="H72" s="1106"/>
      <c r="I72" s="1106"/>
      <c r="J72" s="1106"/>
      <c r="K72" s="42" t="s">
        <v>27</v>
      </c>
      <c r="L72" s="43" t="s">
        <v>108</v>
      </c>
    </row>
    <row r="73" spans="1:15" ht="35.1" customHeight="1" x14ac:dyDescent="0.2">
      <c r="A73" s="1141" t="s">
        <v>21</v>
      </c>
      <c r="B73" s="1142"/>
      <c r="C73" s="1142"/>
      <c r="D73" s="1142"/>
      <c r="E73" s="1143"/>
      <c r="F73" s="527" t="e">
        <f>(J55*$C$39)/(2*$G$34*SQRT(3))</f>
        <v>#DIV/0!</v>
      </c>
      <c r="G73" s="528" t="e">
        <f>(J56*$C$39)/(2*$G$34*SQRT(3))</f>
        <v>#DIV/0!</v>
      </c>
      <c r="H73" s="528" t="e">
        <f>(J57*$C$39)/(2*$G$34*SQRT(3))</f>
        <v>#DIV/0!</v>
      </c>
      <c r="I73" s="528" t="e">
        <f>(J58*$C$39)/(2*$G$34*SQRT(3))</f>
        <v>#DIV/0!</v>
      </c>
      <c r="J73" s="528" t="e">
        <f>(J59*$C$39)/(2*$G$34*SQRT(3))</f>
        <v>#DIV/0!</v>
      </c>
      <c r="K73" s="529" t="s">
        <v>51</v>
      </c>
      <c r="L73" s="517">
        <v>100</v>
      </c>
    </row>
    <row r="74" spans="1:15" ht="35.1" customHeight="1" x14ac:dyDescent="0.2">
      <c r="A74" s="1144" t="s">
        <v>22</v>
      </c>
      <c r="B74" s="1145"/>
      <c r="C74" s="1146"/>
      <c r="D74" s="1146"/>
      <c r="E74" s="1147"/>
      <c r="F74" s="530" t="e">
        <f>$F$48/SQRT($K$43)</f>
        <v>#DIV/0!</v>
      </c>
      <c r="G74" s="44" t="e">
        <f t="shared" ref="G74:J74" si="11">$F$48/SQRT($K$43)</f>
        <v>#DIV/0!</v>
      </c>
      <c r="H74" s="44" t="e">
        <f t="shared" si="11"/>
        <v>#DIV/0!</v>
      </c>
      <c r="I74" s="44" t="e">
        <f t="shared" si="11"/>
        <v>#DIV/0!</v>
      </c>
      <c r="J74" s="44" t="e">
        <f t="shared" si="11"/>
        <v>#DIV/0!</v>
      </c>
      <c r="K74" s="45" t="s">
        <v>52</v>
      </c>
      <c r="L74" s="531">
        <f>K43-1</f>
        <v>9</v>
      </c>
    </row>
    <row r="75" spans="1:15" ht="35.1" customHeight="1" thickBot="1" x14ac:dyDescent="0.25">
      <c r="A75" s="1162" t="s">
        <v>24</v>
      </c>
      <c r="B75" s="1163"/>
      <c r="C75" s="1132"/>
      <c r="D75" s="1132"/>
      <c r="E75" s="1133"/>
      <c r="F75" s="532" t="e">
        <f>($D$14*1000)/SQRT(6)</f>
        <v>#N/A</v>
      </c>
      <c r="G75" s="533" t="e">
        <f>($D$14*1000)/SQRT(6)</f>
        <v>#N/A</v>
      </c>
      <c r="H75" s="533" t="e">
        <f>($D$14*1000)/SQRT(6)</f>
        <v>#N/A</v>
      </c>
      <c r="I75" s="533" t="e">
        <f t="shared" ref="I75:J75" si="12">($D$14*1000)/SQRT(6)</f>
        <v>#N/A</v>
      </c>
      <c r="J75" s="533" t="e">
        <f t="shared" si="12"/>
        <v>#N/A</v>
      </c>
      <c r="K75" s="534" t="s">
        <v>51</v>
      </c>
      <c r="L75" s="523">
        <v>100</v>
      </c>
    </row>
    <row r="76" spans="1:15" ht="35.1" customHeight="1" thickBot="1" x14ac:dyDescent="0.25">
      <c r="A76" s="37"/>
      <c r="B76" s="37"/>
      <c r="C76" s="1129"/>
      <c r="D76" s="1130"/>
      <c r="E76" s="1131"/>
      <c r="F76" s="535" t="e">
        <f>SQRT((F73)^2+(F74)^2+(F75)^2)</f>
        <v>#DIV/0!</v>
      </c>
      <c r="G76" s="536" t="e">
        <f t="shared" ref="G76:J76" si="13">SQRT((G73)^2+(G74)^2+(G75)^2)</f>
        <v>#DIV/0!</v>
      </c>
      <c r="H76" s="536" t="e">
        <f t="shared" si="13"/>
        <v>#DIV/0!</v>
      </c>
      <c r="I76" s="536" t="e">
        <f t="shared" si="13"/>
        <v>#DIV/0!</v>
      </c>
      <c r="J76" s="536" t="e">
        <f t="shared" si="13"/>
        <v>#DIV/0!</v>
      </c>
      <c r="K76" s="537" t="s">
        <v>52</v>
      </c>
      <c r="L76" s="7"/>
    </row>
    <row r="77" spans="1:15" ht="35.1" customHeight="1" thickBot="1" x14ac:dyDescent="0.25">
      <c r="A77" s="37"/>
      <c r="B77" s="37"/>
      <c r="C77" s="37"/>
      <c r="D77" s="37"/>
      <c r="F77" s="1159" t="s">
        <v>412</v>
      </c>
      <c r="G77" s="1160"/>
      <c r="H77" s="1160"/>
      <c r="I77" s="1160"/>
      <c r="J77" s="1161"/>
      <c r="K77" s="1"/>
    </row>
    <row r="78" spans="1:15" ht="35.1" customHeight="1" x14ac:dyDescent="0.2">
      <c r="A78" s="1141" t="s">
        <v>25</v>
      </c>
      <c r="B78" s="1142"/>
      <c r="C78" s="1228"/>
      <c r="D78" s="1228"/>
      <c r="E78" s="1229"/>
      <c r="F78" s="514" t="e">
        <f>I21/L32</f>
        <v>#N/A</v>
      </c>
      <c r="G78" s="515" t="e">
        <f>I22/L32</f>
        <v>#N/A</v>
      </c>
      <c r="H78" s="515" t="e">
        <f>I23/L32</f>
        <v>#N/A</v>
      </c>
      <c r="I78" s="515" t="e">
        <f>I24/L32</f>
        <v>#N/A</v>
      </c>
      <c r="J78" s="515" t="e">
        <f>I25/L32</f>
        <v>#N/A</v>
      </c>
      <c r="K78" s="516" t="s">
        <v>52</v>
      </c>
      <c r="L78" s="517">
        <v>100</v>
      </c>
    </row>
    <row r="79" spans="1:15" ht="35.1" customHeight="1" x14ac:dyDescent="0.2">
      <c r="A79" s="1226" t="s">
        <v>26</v>
      </c>
      <c r="B79" s="1227"/>
      <c r="C79" s="1127"/>
      <c r="D79" s="1127"/>
      <c r="E79" s="1128"/>
      <c r="F79" s="518" t="e">
        <f>(3*I21)/(4*SQRT(3))</f>
        <v>#N/A</v>
      </c>
      <c r="G79" s="46" t="e">
        <f>(3*I22)/(4*SQRT(3))</f>
        <v>#N/A</v>
      </c>
      <c r="H79" s="46" t="e">
        <f>(3*I23)/(4*SQRT(3))</f>
        <v>#N/A</v>
      </c>
      <c r="I79" s="46" t="e">
        <f>(3*I24)/(4*SQRT(3))</f>
        <v>#N/A</v>
      </c>
      <c r="J79" s="46" t="e">
        <f>(3*I25)/(4*SQRT(3))</f>
        <v>#N/A</v>
      </c>
      <c r="K79" s="36" t="s">
        <v>51</v>
      </c>
      <c r="L79" s="519">
        <v>100</v>
      </c>
    </row>
    <row r="80" spans="1:15" ht="35.1" customHeight="1" thickBot="1" x14ac:dyDescent="0.25">
      <c r="A80" s="1162" t="s">
        <v>32</v>
      </c>
      <c r="B80" s="1163"/>
      <c r="C80" s="1219"/>
      <c r="D80" s="1219"/>
      <c r="E80" s="1220"/>
      <c r="F80" s="520" t="e">
        <f>I21/SQRT(3)</f>
        <v>#N/A</v>
      </c>
      <c r="G80" s="521" t="e">
        <f>I22/SQRT(3)</f>
        <v>#N/A</v>
      </c>
      <c r="H80" s="521" t="e">
        <f>I23/SQRT(3)</f>
        <v>#N/A</v>
      </c>
      <c r="I80" s="521" t="e">
        <f>I24/SQRT(3)</f>
        <v>#N/A</v>
      </c>
      <c r="J80" s="521" t="e">
        <f>I25/SQRT(3)</f>
        <v>#N/A</v>
      </c>
      <c r="K80" s="522" t="s">
        <v>51</v>
      </c>
      <c r="L80" s="523">
        <v>100</v>
      </c>
    </row>
    <row r="81" spans="1:12" ht="35.1" customHeight="1" thickBot="1" x14ac:dyDescent="0.25">
      <c r="C81" s="1221"/>
      <c r="D81" s="1222"/>
      <c r="E81" s="1223"/>
      <c r="F81" s="524" t="e">
        <f>SQRT(F78^2+F79^2+F80^2)</f>
        <v>#N/A</v>
      </c>
      <c r="G81" s="525" t="e">
        <f t="shared" ref="G81:J81" si="14">SQRT(G78^2+G79^2+G80^2)</f>
        <v>#N/A</v>
      </c>
      <c r="H81" s="525" t="e">
        <f t="shared" si="14"/>
        <v>#N/A</v>
      </c>
      <c r="I81" s="525" t="e">
        <f t="shared" si="14"/>
        <v>#N/A</v>
      </c>
      <c r="J81" s="525" t="e">
        <f t="shared" si="14"/>
        <v>#N/A</v>
      </c>
      <c r="K81" s="526" t="s">
        <v>52</v>
      </c>
      <c r="L81" s="90"/>
    </row>
    <row r="82" spans="1:12" ht="35.1" customHeight="1" thickBot="1" x14ac:dyDescent="0.25">
      <c r="C82" s="1"/>
      <c r="D82" s="1"/>
      <c r="F82" s="1216" t="s">
        <v>413</v>
      </c>
      <c r="G82" s="1217"/>
      <c r="H82" s="1217"/>
      <c r="I82" s="1217"/>
      <c r="J82" s="1218"/>
      <c r="K82" s="1"/>
    </row>
    <row r="83" spans="1:12" ht="35.1" customHeight="1" thickBot="1" x14ac:dyDescent="0.25">
      <c r="B83" s="1"/>
      <c r="C83" s="502"/>
      <c r="D83" s="503"/>
      <c r="E83" s="504"/>
      <c r="F83" s="47" t="e">
        <f>SQRT((F76)^2+(F81)^2)</f>
        <v>#DIV/0!</v>
      </c>
      <c r="G83" s="48" t="e">
        <f t="shared" ref="G83:J83" si="15">SQRT((G76)^2+(G81)^2)</f>
        <v>#DIV/0!</v>
      </c>
      <c r="H83" s="48" t="e">
        <f t="shared" si="15"/>
        <v>#DIV/0!</v>
      </c>
      <c r="I83" s="48" t="e">
        <f t="shared" si="15"/>
        <v>#DIV/0!</v>
      </c>
      <c r="J83" s="49" t="e">
        <f t="shared" si="15"/>
        <v>#DIV/0!</v>
      </c>
      <c r="K83" s="1"/>
    </row>
    <row r="84" spans="1:12" s="7" customFormat="1" ht="9.9499999999999993" customHeight="1" thickBot="1" x14ac:dyDescent="0.25">
      <c r="A84" s="50"/>
      <c r="B84" s="50"/>
      <c r="D84" s="40"/>
    </row>
    <row r="85" spans="1:12" s="34" customFormat="1" ht="35.1" customHeight="1" thickBot="1" x14ac:dyDescent="0.25">
      <c r="F85" s="1099" t="s">
        <v>29</v>
      </c>
      <c r="G85" s="1100"/>
      <c r="H85" s="1100"/>
      <c r="I85" s="1100"/>
      <c r="J85" s="1101"/>
    </row>
    <row r="86" spans="1:12" ht="35.1" customHeight="1" thickBot="1" x14ac:dyDescent="0.25">
      <c r="B86" s="1"/>
      <c r="C86" s="26"/>
      <c r="D86" s="26"/>
      <c r="F86" s="1150" t="s">
        <v>57</v>
      </c>
      <c r="G86" s="1151"/>
      <c r="H86" s="1151"/>
      <c r="I86" s="1151"/>
      <c r="J86" s="1152"/>
    </row>
    <row r="87" spans="1:12" ht="35.1" customHeight="1" x14ac:dyDescent="0.2">
      <c r="A87" s="1210" t="s">
        <v>101</v>
      </c>
      <c r="B87" s="1211"/>
      <c r="C87" s="1211"/>
      <c r="D87" s="1214"/>
      <c r="E87" s="1214"/>
      <c r="F87" s="512">
        <v>100</v>
      </c>
      <c r="G87" s="55">
        <v>100</v>
      </c>
      <c r="H87" s="55">
        <v>100</v>
      </c>
      <c r="I87" s="55">
        <v>100</v>
      </c>
      <c r="J87" s="513">
        <v>100</v>
      </c>
    </row>
    <row r="88" spans="1:12" ht="35.1" customHeight="1" x14ac:dyDescent="0.2">
      <c r="A88" s="1209" t="s">
        <v>102</v>
      </c>
      <c r="B88" s="1124"/>
      <c r="C88" s="1124"/>
      <c r="D88" s="1215"/>
      <c r="E88" s="1215"/>
      <c r="F88" s="498">
        <f>$K$43-1</f>
        <v>9</v>
      </c>
      <c r="G88" s="51">
        <f t="shared" ref="G88:J88" si="16">$K$43-1</f>
        <v>9</v>
      </c>
      <c r="H88" s="51">
        <f t="shared" si="16"/>
        <v>9</v>
      </c>
      <c r="I88" s="51">
        <f t="shared" si="16"/>
        <v>9</v>
      </c>
      <c r="J88" s="499">
        <f t="shared" si="16"/>
        <v>9</v>
      </c>
    </row>
    <row r="89" spans="1:12" ht="35.1" customHeight="1" thickBot="1" x14ac:dyDescent="0.25">
      <c r="A89" s="1224" t="s">
        <v>103</v>
      </c>
      <c r="B89" s="1225"/>
      <c r="C89" s="1225"/>
      <c r="D89" s="1213"/>
      <c r="E89" s="1213"/>
      <c r="F89" s="498">
        <v>100</v>
      </c>
      <c r="G89" s="51">
        <v>100</v>
      </c>
      <c r="H89" s="51">
        <v>100</v>
      </c>
      <c r="I89" s="51">
        <v>100</v>
      </c>
      <c r="J89" s="499">
        <v>100</v>
      </c>
    </row>
    <row r="90" spans="1:12" ht="50.1" customHeight="1" thickBot="1" x14ac:dyDescent="0.25">
      <c r="B90" s="505"/>
      <c r="C90" s="506"/>
      <c r="D90" s="507"/>
      <c r="E90" s="508"/>
      <c r="F90" s="509" t="e">
        <f>F76^4/(F73^4/100+(F74^4/(K43-1))+(F75^4/100))</f>
        <v>#DIV/0!</v>
      </c>
      <c r="G90" s="510" t="e">
        <f>G76^4/(G73^4/100+(G74^4/(K43-1))+(G75^4/100))</f>
        <v>#DIV/0!</v>
      </c>
      <c r="H90" s="510" t="e">
        <f>H76^4/(H73^4/100+(H74^4/(K43-1))+(H75^4/100))</f>
        <v>#DIV/0!</v>
      </c>
      <c r="I90" s="510" t="e">
        <f>I76^4/(I73^4/100+(I74^4/(K43-1))+(I75^4/100))</f>
        <v>#DIV/0!</v>
      </c>
      <c r="J90" s="511" t="e">
        <f>J76^4/(J73^4/100+(J74^4/(K43-1))+(J75^4/100))</f>
        <v>#DIV/0!</v>
      </c>
    </row>
    <row r="91" spans="1:12" ht="35.1" customHeight="1" thickBot="1" x14ac:dyDescent="0.25">
      <c r="B91" s="1"/>
      <c r="C91" s="26"/>
      <c r="D91" s="26"/>
      <c r="E91" s="26"/>
      <c r="F91" s="1120" t="s">
        <v>56</v>
      </c>
      <c r="G91" s="1121"/>
      <c r="H91" s="1121"/>
      <c r="I91" s="1121"/>
      <c r="J91" s="1122"/>
      <c r="K91" s="1"/>
    </row>
    <row r="92" spans="1:12" ht="35.1" customHeight="1" x14ac:dyDescent="0.2">
      <c r="A92" s="1123" t="s">
        <v>104</v>
      </c>
      <c r="B92" s="1124"/>
      <c r="C92" s="1124"/>
      <c r="D92" s="1125"/>
      <c r="E92" s="1126"/>
      <c r="F92" s="54">
        <v>100</v>
      </c>
      <c r="G92" s="55">
        <v>100</v>
      </c>
      <c r="H92" s="55">
        <v>100</v>
      </c>
      <c r="I92" s="55">
        <v>100</v>
      </c>
      <c r="J92" s="55">
        <v>100</v>
      </c>
      <c r="K92" s="1"/>
    </row>
    <row r="93" spans="1:12" ht="35.1" customHeight="1" x14ac:dyDescent="0.2">
      <c r="A93" s="1123" t="s">
        <v>105</v>
      </c>
      <c r="B93" s="1124"/>
      <c r="C93" s="1124"/>
      <c r="D93" s="1125"/>
      <c r="E93" s="1126"/>
      <c r="F93" s="52">
        <v>100</v>
      </c>
      <c r="G93" s="51">
        <v>100</v>
      </c>
      <c r="H93" s="51">
        <v>100</v>
      </c>
      <c r="I93" s="51">
        <v>100</v>
      </c>
      <c r="J93" s="51">
        <v>100</v>
      </c>
      <c r="K93" s="1"/>
    </row>
    <row r="94" spans="1:12" ht="35.1" customHeight="1" x14ac:dyDescent="0.2">
      <c r="A94" s="1123" t="s">
        <v>106</v>
      </c>
      <c r="B94" s="1124"/>
      <c r="C94" s="1124"/>
      <c r="D94" s="1125"/>
      <c r="E94" s="1126"/>
      <c r="F94" s="52">
        <v>100</v>
      </c>
      <c r="G94" s="51">
        <v>100</v>
      </c>
      <c r="H94" s="51">
        <v>100</v>
      </c>
      <c r="I94" s="51">
        <v>100</v>
      </c>
      <c r="J94" s="51">
        <v>100</v>
      </c>
      <c r="K94" s="1"/>
    </row>
    <row r="95" spans="1:12" ht="50.1" customHeight="1" thickBot="1" x14ac:dyDescent="0.25">
      <c r="B95" s="1212"/>
      <c r="C95" s="1212"/>
      <c r="D95" s="1212"/>
      <c r="E95" s="1212"/>
      <c r="F95" s="53" t="e">
        <f>F81^4/((F78^4/100)+(F79^4/100)+(F80^4/100))</f>
        <v>#N/A</v>
      </c>
      <c r="G95" s="53" t="e">
        <f>G81^4/((G78^4/100)+(G79^4/100)+(G80^4/100))</f>
        <v>#N/A</v>
      </c>
      <c r="H95" s="53" t="e">
        <f>H81^4/((H78^4/100)+(H79^4/100)+(H80^4/100))</f>
        <v>#N/A</v>
      </c>
      <c r="I95" s="53" t="e">
        <f>I81^4/((I78^4/100)+(I79^4/100)+(I80^4/100))</f>
        <v>#N/A</v>
      </c>
      <c r="J95" s="53" t="e">
        <f>J81^4/((J78^4/100)+(J79^4/100)+(J80^4/100))</f>
        <v>#N/A</v>
      </c>
      <c r="K95" s="1"/>
    </row>
    <row r="96" spans="1:12" ht="35.1" customHeight="1" thickBot="1" x14ac:dyDescent="0.25">
      <c r="B96" s="1"/>
      <c r="C96" s="1"/>
      <c r="D96" s="1"/>
      <c r="E96" s="1"/>
      <c r="F96" s="1117" t="s">
        <v>30</v>
      </c>
      <c r="G96" s="1118"/>
      <c r="H96" s="1118"/>
      <c r="I96" s="1118"/>
      <c r="J96" s="1119"/>
      <c r="K96" s="1"/>
    </row>
    <row r="97" spans="1:13" ht="50.1" customHeight="1" x14ac:dyDescent="0.2">
      <c r="B97" s="7"/>
      <c r="C97" s="1237"/>
      <c r="D97" s="1127"/>
      <c r="E97" s="1238"/>
      <c r="F97" s="56" t="e">
        <f>F83^4/((F76^4/F90)+(F81^4/F95))</f>
        <v>#DIV/0!</v>
      </c>
      <c r="G97" s="57" t="e">
        <f>G83^4/((G76^4/G90)+(G81^4/G95))</f>
        <v>#DIV/0!</v>
      </c>
      <c r="H97" s="57" t="e">
        <f>H83^4/((H76^4/H90)+(H81^4/H95))</f>
        <v>#DIV/0!</v>
      </c>
      <c r="I97" s="57" t="e">
        <f>I83^4/((I76^4/I90)+(I81^4/I95))</f>
        <v>#DIV/0!</v>
      </c>
      <c r="J97" s="57" t="e">
        <f>J83^4/((J76^4/J90)+(J81^4/J95))</f>
        <v>#DIV/0!</v>
      </c>
      <c r="K97" s="1"/>
    </row>
    <row r="98" spans="1:13" s="7" customFormat="1" ht="9.9499999999999993" customHeight="1" thickBot="1" x14ac:dyDescent="0.25">
      <c r="B98" s="50"/>
      <c r="C98" s="50"/>
      <c r="E98" s="40"/>
    </row>
    <row r="99" spans="1:13" ht="35.1" customHeight="1" thickBot="1" x14ac:dyDescent="0.25">
      <c r="B99" s="1"/>
      <c r="C99" s="1"/>
      <c r="D99" s="1"/>
      <c r="E99" s="1"/>
      <c r="F99" s="1117" t="s">
        <v>31</v>
      </c>
      <c r="G99" s="1118"/>
      <c r="H99" s="1118"/>
      <c r="I99" s="1118"/>
      <c r="J99" s="1119"/>
      <c r="K99" s="1"/>
    </row>
    <row r="100" spans="1:13" ht="35.1" customHeight="1" thickBot="1" x14ac:dyDescent="0.25">
      <c r="B100" s="505"/>
      <c r="C100" s="627"/>
      <c r="D100" s="506"/>
      <c r="E100" s="504"/>
      <c r="F100" s="626" t="e">
        <f>_xlfn.T.INV.2T(100%-$I$102,F97)</f>
        <v>#DIV/0!</v>
      </c>
      <c r="G100" s="58" t="e">
        <f>_xlfn.T.INV.2T(100%-$I$102,G97)</f>
        <v>#DIV/0!</v>
      </c>
      <c r="H100" s="58" t="e">
        <f>_xlfn.T.INV.2T(100%-$I$102,H97)</f>
        <v>#DIV/0!</v>
      </c>
      <c r="I100" s="58" t="e">
        <f>_xlfn.T.INV.2T(100%-$I$102,I97)</f>
        <v>#DIV/0!</v>
      </c>
      <c r="J100" s="58" t="e">
        <f>_xlfn.T.INV.2T(100%-$I$102,J97)</f>
        <v>#DIV/0!</v>
      </c>
      <c r="K100" s="1"/>
    </row>
    <row r="101" spans="1:13" ht="9.9499999999999993" customHeight="1" thickBot="1" x14ac:dyDescent="0.25">
      <c r="K101" s="1"/>
    </row>
    <row r="102" spans="1:13" ht="35.1" customHeight="1" thickBot="1" x14ac:dyDescent="0.25">
      <c r="F102" s="1114" t="s">
        <v>58</v>
      </c>
      <c r="G102" s="1115"/>
      <c r="H102" s="1116"/>
      <c r="I102" s="628">
        <f>'DATOS '!N8</f>
        <v>0.95450000000000002</v>
      </c>
      <c r="L102" s="6"/>
    </row>
    <row r="103" spans="1:13" s="34" customFormat="1" ht="9.9499999999999993" customHeight="1" thickBot="1" x14ac:dyDescent="0.25">
      <c r="F103" s="59"/>
      <c r="G103" s="59"/>
      <c r="H103" s="59"/>
      <c r="I103" s="60"/>
      <c r="J103" s="60"/>
    </row>
    <row r="104" spans="1:13" s="34" customFormat="1" ht="35.1" customHeight="1" thickBot="1" x14ac:dyDescent="0.25">
      <c r="B104" s="1235" t="s">
        <v>365</v>
      </c>
      <c r="C104" s="1236"/>
      <c r="D104" s="1236"/>
      <c r="E104" s="84"/>
      <c r="F104" s="629" t="e">
        <f>F83*F100</f>
        <v>#DIV/0!</v>
      </c>
      <c r="G104" s="630" t="e">
        <f>G83*G100</f>
        <v>#DIV/0!</v>
      </c>
      <c r="H104" s="630" t="e">
        <f>H83*H100</f>
        <v>#DIV/0!</v>
      </c>
      <c r="I104" s="630" t="e">
        <f>I83*I100</f>
        <v>#DIV/0!</v>
      </c>
      <c r="J104" s="631" t="e">
        <f>J83*J100</f>
        <v>#DIV/0!</v>
      </c>
    </row>
    <row r="105" spans="1:13" s="34" customFormat="1" ht="35.1" customHeight="1" thickBot="1" x14ac:dyDescent="0.25">
      <c r="B105" s="1172" t="s">
        <v>366</v>
      </c>
      <c r="C105" s="1173"/>
      <c r="D105" s="1173"/>
      <c r="E105" s="94"/>
      <c r="F105" s="632" t="e">
        <f>F104/1000</f>
        <v>#DIV/0!</v>
      </c>
      <c r="G105" s="633" t="e">
        <f t="shared" ref="G105:J105" si="17">G104/1000</f>
        <v>#DIV/0!</v>
      </c>
      <c r="H105" s="633" t="e">
        <f t="shared" si="17"/>
        <v>#DIV/0!</v>
      </c>
      <c r="I105" s="634" t="e">
        <f t="shared" si="17"/>
        <v>#DIV/0!</v>
      </c>
      <c r="J105" s="635" t="e">
        <f t="shared" si="17"/>
        <v>#DIV/0!</v>
      </c>
    </row>
    <row r="106" spans="1:13" s="34" customFormat="1" ht="33" customHeight="1" thickBot="1" x14ac:dyDescent="0.25">
      <c r="E106" s="59"/>
      <c r="F106" s="59"/>
      <c r="G106" s="59"/>
      <c r="H106" s="60"/>
      <c r="I106" s="60"/>
      <c r="J106" s="61"/>
      <c r="K106" s="61"/>
      <c r="L106" s="61"/>
      <c r="M106" s="61"/>
    </row>
    <row r="107" spans="1:13" s="34" customFormat="1" ht="35.1" customHeight="1" thickBot="1" x14ac:dyDescent="0.25">
      <c r="A107" s="1117" t="s">
        <v>414</v>
      </c>
      <c r="B107" s="1118"/>
      <c r="C107" s="1118"/>
      <c r="D107" s="1118"/>
      <c r="E107" s="1118"/>
      <c r="F107" s="1118"/>
      <c r="G107" s="1119"/>
      <c r="I107" s="1167" t="s">
        <v>114</v>
      </c>
      <c r="J107" s="1168"/>
      <c r="K107" s="1169"/>
    </row>
    <row r="108" spans="1:13" s="34" customFormat="1" ht="35.1" customHeight="1" x14ac:dyDescent="0.2">
      <c r="A108" s="636" t="s">
        <v>36</v>
      </c>
      <c r="B108" s="637" t="s">
        <v>37</v>
      </c>
      <c r="C108" s="637" t="s">
        <v>137</v>
      </c>
      <c r="D108" s="637" t="s">
        <v>138</v>
      </c>
      <c r="E108" s="638" t="s">
        <v>40</v>
      </c>
      <c r="F108" s="639"/>
      <c r="G108" s="1170" t="s">
        <v>139</v>
      </c>
      <c r="I108" s="1164"/>
      <c r="J108" s="1165"/>
      <c r="K108" s="1166"/>
    </row>
    <row r="109" spans="1:13" s="34" customFormat="1" ht="35.1" customHeight="1" thickBot="1" x14ac:dyDescent="0.25">
      <c r="A109" s="640"/>
      <c r="B109" s="641"/>
      <c r="C109" s="641"/>
      <c r="D109" s="641"/>
      <c r="E109" s="642"/>
      <c r="F109" s="643"/>
      <c r="G109" s="1171"/>
      <c r="I109" s="1108"/>
      <c r="J109" s="1109"/>
      <c r="K109" s="1110"/>
    </row>
    <row r="110" spans="1:13" s="34" customFormat="1" ht="35.1" customHeight="1" x14ac:dyDescent="0.2">
      <c r="A110" s="644" t="e">
        <f>(1/F83)^2</f>
        <v>#DIV/0!</v>
      </c>
      <c r="B110" s="645" t="e">
        <f>A110*J55*L55</f>
        <v>#DIV/0!</v>
      </c>
      <c r="C110" s="645" t="e">
        <f>(J55)^2*A110</f>
        <v>#DIV/0!</v>
      </c>
      <c r="D110" s="645" t="e">
        <f>((($B$118*$E$119)+($B$119*(J55^2))))</f>
        <v>#DIV/0!</v>
      </c>
      <c r="E110" s="646" t="e">
        <f>SQRT($E$119+D110)</f>
        <v>#N/A</v>
      </c>
      <c r="F110" s="647"/>
      <c r="G110" s="648" t="e">
        <f>A110*($B$117*J55-L55)^2</f>
        <v>#DIV/0!</v>
      </c>
      <c r="I110" s="1108"/>
      <c r="J110" s="1109"/>
      <c r="K110" s="1110"/>
    </row>
    <row r="111" spans="1:13" s="34" customFormat="1" ht="35.1" customHeight="1" x14ac:dyDescent="0.2">
      <c r="A111" s="649" t="e">
        <f>(1/G83)^2</f>
        <v>#DIV/0!</v>
      </c>
      <c r="B111" s="62" t="e">
        <f>A111*J56*L56</f>
        <v>#DIV/0!</v>
      </c>
      <c r="C111" s="62" t="e">
        <f>(J56)^2*A111</f>
        <v>#DIV/0!</v>
      </c>
      <c r="D111" s="62" t="e">
        <f>$B$118*$E$119+$B$119*J56^2</f>
        <v>#DIV/0!</v>
      </c>
      <c r="E111" s="63" t="e">
        <f>SQRT($E$119+D111)</f>
        <v>#N/A</v>
      </c>
      <c r="F111" s="64"/>
      <c r="G111" s="650" t="e">
        <f>A111*($B$117*J56-L56)^2</f>
        <v>#DIV/0!</v>
      </c>
      <c r="I111" s="1108"/>
      <c r="J111" s="1109"/>
      <c r="K111" s="1110"/>
    </row>
    <row r="112" spans="1:13" s="34" customFormat="1" ht="35.1" customHeight="1" x14ac:dyDescent="0.2">
      <c r="A112" s="649" t="e">
        <f>(1/H83)^2</f>
        <v>#DIV/0!</v>
      </c>
      <c r="B112" s="62" t="e">
        <f>A112*J57*L57</f>
        <v>#DIV/0!</v>
      </c>
      <c r="C112" s="62" t="e">
        <f>(J57)^2*A112</f>
        <v>#DIV/0!</v>
      </c>
      <c r="D112" s="62" t="e">
        <f>$B$118*$E$119+$B$119*J57^2</f>
        <v>#DIV/0!</v>
      </c>
      <c r="E112" s="63" t="e">
        <f>SQRT($E$119+D112)</f>
        <v>#N/A</v>
      </c>
      <c r="F112" s="65"/>
      <c r="G112" s="650" t="e">
        <f>A112*($B$117*J57-L57)^2</f>
        <v>#DIV/0!</v>
      </c>
      <c r="I112" s="1108"/>
      <c r="J112" s="1109"/>
      <c r="K112" s="1110"/>
    </row>
    <row r="113" spans="1:12" s="34" customFormat="1" ht="35.1" customHeight="1" x14ac:dyDescent="0.2">
      <c r="A113" s="649" t="e">
        <f>(1/I83)^2</f>
        <v>#DIV/0!</v>
      </c>
      <c r="B113" s="62" t="e">
        <f>A113*J58*L58</f>
        <v>#DIV/0!</v>
      </c>
      <c r="C113" s="62" t="e">
        <f>(J58)^2*A113</f>
        <v>#DIV/0!</v>
      </c>
      <c r="D113" s="62" t="e">
        <f>$B$118*$E$119+$B$119*J58^2</f>
        <v>#DIV/0!</v>
      </c>
      <c r="E113" s="63" t="e">
        <f>SQRT($E$119+D113)</f>
        <v>#N/A</v>
      </c>
      <c r="F113" s="64"/>
      <c r="G113" s="650" t="e">
        <f>A113*($B$117*J58-L58)^2</f>
        <v>#DIV/0!</v>
      </c>
      <c r="I113" s="1108"/>
      <c r="J113" s="1109"/>
      <c r="K113" s="1110"/>
    </row>
    <row r="114" spans="1:12" s="34" customFormat="1" ht="35.1" customHeight="1" thickBot="1" x14ac:dyDescent="0.25">
      <c r="A114" s="649" t="e">
        <f>(1/J83)^2</f>
        <v>#DIV/0!</v>
      </c>
      <c r="B114" s="62" t="e">
        <f>A114*J59*L59</f>
        <v>#DIV/0!</v>
      </c>
      <c r="C114" s="62" t="e">
        <f>(J59)^2*A114</f>
        <v>#DIV/0!</v>
      </c>
      <c r="D114" s="62" t="e">
        <f>$B$118*$E$119+$B$119*J59^2</f>
        <v>#DIV/0!</v>
      </c>
      <c r="E114" s="655" t="e">
        <f>SQRT($E$119+D114)</f>
        <v>#N/A</v>
      </c>
      <c r="F114" s="656"/>
      <c r="G114" s="650" t="e">
        <f>A114*($B$117*J59-L59)^2</f>
        <v>#DIV/0!</v>
      </c>
      <c r="I114" s="1108"/>
      <c r="J114" s="1109"/>
      <c r="K114" s="1110"/>
    </row>
    <row r="115" spans="1:12" s="6" customFormat="1" ht="27" customHeight="1" thickBot="1" x14ac:dyDescent="0.3">
      <c r="A115" s="651" t="s">
        <v>38</v>
      </c>
      <c r="B115" s="652" t="e">
        <f t="shared" ref="B115" si="18">SUM(B110:B114)</f>
        <v>#DIV/0!</v>
      </c>
      <c r="C115" s="652" t="e">
        <f>SUM(C110:C114)</f>
        <v>#DIV/0!</v>
      </c>
      <c r="D115" s="653"/>
      <c r="E115" s="657" t="s">
        <v>140</v>
      </c>
      <c r="F115" s="658"/>
      <c r="G115" s="654" t="e">
        <f>SUM(G110:G114)</f>
        <v>#DIV/0!</v>
      </c>
      <c r="I115" s="1108"/>
      <c r="J115" s="1109"/>
      <c r="K115" s="1110"/>
    </row>
    <row r="116" spans="1:12" s="6" customFormat="1" ht="9.9499999999999993" customHeight="1" thickBot="1" x14ac:dyDescent="0.25">
      <c r="B116" s="66"/>
      <c r="C116" s="66"/>
      <c r="D116" s="66"/>
      <c r="E116" s="66"/>
      <c r="F116" s="66"/>
      <c r="G116" s="66"/>
    </row>
    <row r="117" spans="1:12" ht="35.1" customHeight="1" thickBot="1" x14ac:dyDescent="0.25">
      <c r="A117" s="680" t="s">
        <v>141</v>
      </c>
      <c r="B117" s="678" t="e">
        <f>(B115/C115)</f>
        <v>#DIV/0!</v>
      </c>
      <c r="C117" s="664"/>
      <c r="D117" s="664"/>
      <c r="E117" s="664"/>
      <c r="F117" s="672" t="s">
        <v>43</v>
      </c>
      <c r="G117" s="669">
        <v>2</v>
      </c>
      <c r="I117" s="659"/>
      <c r="J117" s="660"/>
      <c r="K117" s="661"/>
    </row>
    <row r="118" spans="1:12" ht="35.1" customHeight="1" thickBot="1" x14ac:dyDescent="0.25">
      <c r="A118" s="679" t="s">
        <v>142</v>
      </c>
      <c r="B118" s="670" t="e">
        <f>B117^2</f>
        <v>#DIV/0!</v>
      </c>
      <c r="C118" s="300" t="s">
        <v>143</v>
      </c>
      <c r="D118" s="658"/>
      <c r="E118" s="675" t="e">
        <f>F48^2</f>
        <v>#DIV/0!</v>
      </c>
      <c r="F118" s="673" t="s">
        <v>44</v>
      </c>
      <c r="G118" s="668">
        <f>G26</f>
        <v>3</v>
      </c>
      <c r="I118" s="662" t="e">
        <f>ABS(G115-G118)</f>
        <v>#DIV/0!</v>
      </c>
      <c r="J118" s="67" t="s">
        <v>39</v>
      </c>
      <c r="K118" s="663">
        <f>G117*SQRT(2*G118)</f>
        <v>4.8989794855663558</v>
      </c>
    </row>
    <row r="119" spans="1:12" ht="35.1" customHeight="1" thickBot="1" x14ac:dyDescent="0.25">
      <c r="A119" s="665" t="s">
        <v>110</v>
      </c>
      <c r="B119" s="666" t="e">
        <f>1/C115</f>
        <v>#DIV/0!</v>
      </c>
      <c r="C119" s="676" t="s">
        <v>144</v>
      </c>
      <c r="D119" s="677"/>
      <c r="E119" s="671" t="e">
        <f>((D14*1000)^2)/6+E118</f>
        <v>#N/A</v>
      </c>
      <c r="F119" s="674" t="s">
        <v>64</v>
      </c>
      <c r="G119" s="491" t="e">
        <f>MAX(F100:J100)</f>
        <v>#DIV/0!</v>
      </c>
      <c r="H119" s="667">
        <f>'DATOS '!M8</f>
        <v>2</v>
      </c>
      <c r="I119" s="1230" t="e">
        <f>IF(I118&lt;=K118,"APROBADO","NO APROBADO")</f>
        <v>#DIV/0!</v>
      </c>
      <c r="J119" s="1231"/>
      <c r="K119" s="1232"/>
    </row>
    <row r="120" spans="1:12" ht="9.9499999999999993" customHeight="1" thickBot="1" x14ac:dyDescent="0.25"/>
    <row r="121" spans="1:12" ht="35.1" customHeight="1" thickBot="1" x14ac:dyDescent="0.25">
      <c r="A121" s="1102" t="s">
        <v>109</v>
      </c>
      <c r="B121" s="1103"/>
      <c r="C121" s="1103"/>
      <c r="D121" s="1103"/>
      <c r="E121" s="1103"/>
      <c r="F121" s="1103"/>
      <c r="G121" s="1103"/>
      <c r="H121" s="1103"/>
      <c r="I121" s="1103"/>
      <c r="J121" s="1103"/>
      <c r="K121" s="1103"/>
      <c r="L121" s="1104"/>
    </row>
    <row r="122" spans="1:12" ht="35.1" customHeight="1" x14ac:dyDescent="0.2">
      <c r="C122" s="681" t="s">
        <v>41</v>
      </c>
      <c r="D122" s="682" t="e">
        <f>SLOPE(E110:E114,G21:G25)</f>
        <v>#N/A</v>
      </c>
      <c r="E122" s="1097" t="s">
        <v>111</v>
      </c>
      <c r="F122" s="1098"/>
      <c r="G122" s="683" t="s">
        <v>73</v>
      </c>
      <c r="H122" s="684">
        <v>5</v>
      </c>
      <c r="I122" s="1"/>
      <c r="K122" s="1"/>
    </row>
    <row r="123" spans="1:12" ht="35.1" customHeight="1" thickBot="1" x14ac:dyDescent="0.25">
      <c r="C123" s="685" t="s">
        <v>42</v>
      </c>
      <c r="D123" s="546" t="e">
        <f>INTERCEPT(E110:E114,G21:G25)</f>
        <v>#N/A</v>
      </c>
      <c r="E123" s="1095" t="s">
        <v>112</v>
      </c>
      <c r="F123" s="1096"/>
      <c r="G123" s="686" t="s">
        <v>74</v>
      </c>
      <c r="H123" s="687" t="e">
        <f>D122*H122+D123</f>
        <v>#N/A</v>
      </c>
    </row>
    <row r="124" spans="1:12" ht="35.1" customHeight="1" thickBot="1" x14ac:dyDescent="0.25">
      <c r="L124" s="6"/>
    </row>
    <row r="125" spans="1:12" ht="35.1" customHeight="1" thickBot="1" x14ac:dyDescent="0.25">
      <c r="J125" s="494" t="s">
        <v>68</v>
      </c>
      <c r="K125" s="495" t="s">
        <v>471</v>
      </c>
    </row>
    <row r="126" spans="1:12" ht="35.1" customHeight="1" x14ac:dyDescent="0.2">
      <c r="J126" s="496" t="e">
        <f>G21</f>
        <v>#N/A</v>
      </c>
      <c r="K126" s="497" t="e">
        <f>E110</f>
        <v>#N/A</v>
      </c>
    </row>
    <row r="127" spans="1:12" ht="35.1" customHeight="1" x14ac:dyDescent="0.2">
      <c r="I127" s="14"/>
      <c r="J127" s="498" t="e">
        <f>G22</f>
        <v>#N/A</v>
      </c>
      <c r="K127" s="499" t="e">
        <f>E111</f>
        <v>#N/A</v>
      </c>
    </row>
    <row r="128" spans="1:12" ht="35.1" customHeight="1" x14ac:dyDescent="0.2">
      <c r="I128" s="14"/>
      <c r="J128" s="498" t="e">
        <f>G23</f>
        <v>#N/A</v>
      </c>
      <c r="K128" s="499" t="e">
        <f>E112</f>
        <v>#N/A</v>
      </c>
    </row>
    <row r="129" spans="1:20" ht="35.1" customHeight="1" x14ac:dyDescent="0.2">
      <c r="I129" s="14"/>
      <c r="J129" s="498" t="e">
        <f>G24</f>
        <v>#N/A</v>
      </c>
      <c r="K129" s="499" t="e">
        <f>E113</f>
        <v>#N/A</v>
      </c>
    </row>
    <row r="130" spans="1:20" ht="35.1" customHeight="1" thickBot="1" x14ac:dyDescent="0.25">
      <c r="A130" s="68"/>
      <c r="I130" s="14"/>
      <c r="J130" s="500" t="e">
        <f>G25</f>
        <v>#N/A</v>
      </c>
      <c r="K130" s="501" t="e">
        <f>E114</f>
        <v>#N/A</v>
      </c>
    </row>
    <row r="131" spans="1:20" ht="35.1" customHeight="1" x14ac:dyDescent="0.2">
      <c r="A131" s="68"/>
      <c r="I131" s="14"/>
      <c r="J131" s="14"/>
      <c r="K131" s="14"/>
      <c r="L131" s="14"/>
    </row>
    <row r="132" spans="1:20" ht="9.9499999999999993" customHeight="1" thickBot="1" x14ac:dyDescent="0.25">
      <c r="A132" s="68"/>
      <c r="I132" s="69"/>
      <c r="J132" s="69"/>
      <c r="K132" s="69"/>
      <c r="L132" s="69"/>
    </row>
    <row r="133" spans="1:20" s="6" customFormat="1" ht="35.1" customHeight="1" thickBot="1" x14ac:dyDescent="0.25">
      <c r="B133" s="688" t="s">
        <v>145</v>
      </c>
      <c r="C133" s="689"/>
      <c r="D133" s="690" t="e">
        <f>B117*E118</f>
        <v>#DIV/0!</v>
      </c>
      <c r="E133" s="691" t="s">
        <v>69</v>
      </c>
      <c r="F133" s="689" t="s">
        <v>146</v>
      </c>
      <c r="G133" s="692" t="e">
        <f>B119</f>
        <v>#DIV/0!</v>
      </c>
      <c r="I133" s="14"/>
      <c r="J133" s="14"/>
      <c r="K133" s="14"/>
      <c r="L133" s="14"/>
      <c r="M133" s="1"/>
      <c r="N133" s="1"/>
      <c r="O133" s="1"/>
      <c r="P133" s="1"/>
      <c r="Q133" s="1"/>
      <c r="R133" s="1"/>
      <c r="S133" s="1"/>
      <c r="T133" s="1"/>
    </row>
    <row r="134" spans="1:20" s="6" customFormat="1" ht="9.9499999999999993" customHeight="1" thickBot="1" x14ac:dyDescent="0.25">
      <c r="A134" s="1"/>
      <c r="D134" s="70"/>
      <c r="E134" s="71"/>
      <c r="M134" s="1"/>
      <c r="N134" s="1"/>
      <c r="O134" s="1"/>
      <c r="P134" s="1"/>
      <c r="Q134" s="1"/>
      <c r="R134" s="1"/>
      <c r="S134" s="1"/>
      <c r="T134" s="1"/>
    </row>
    <row r="135" spans="1:20" ht="35.1" customHeight="1" thickBot="1" x14ac:dyDescent="0.25">
      <c r="A135" s="1099" t="s">
        <v>71</v>
      </c>
      <c r="B135" s="1100"/>
      <c r="C135" s="1100"/>
      <c r="D135" s="1100"/>
      <c r="E135" s="1100"/>
      <c r="F135" s="1100"/>
      <c r="G135" s="1100"/>
      <c r="H135" s="1100"/>
      <c r="I135" s="1100"/>
      <c r="J135" s="1100"/>
      <c r="K135" s="1100"/>
      <c r="L135" s="1101"/>
    </row>
    <row r="136" spans="1:20" ht="35.1" customHeight="1" x14ac:dyDescent="0.2">
      <c r="B136" s="1093" t="s">
        <v>65</v>
      </c>
      <c r="C136" s="1094"/>
      <c r="D136" s="1094"/>
      <c r="E136" s="693" t="s">
        <v>130</v>
      </c>
      <c r="F136" s="781" t="e">
        <f>B117</f>
        <v>#DIV/0!</v>
      </c>
      <c r="G136" s="694" t="s">
        <v>386</v>
      </c>
      <c r="H136" s="1"/>
      <c r="K136" s="1"/>
    </row>
    <row r="137" spans="1:20" ht="35.25" customHeight="1" thickBot="1" x14ac:dyDescent="0.25">
      <c r="B137" s="1091" t="s">
        <v>65</v>
      </c>
      <c r="C137" s="1092"/>
      <c r="D137" s="1092"/>
      <c r="E137" s="695" t="s">
        <v>387</v>
      </c>
      <c r="F137" s="782" t="e">
        <f>F136/1000</f>
        <v>#DIV/0!</v>
      </c>
      <c r="G137" s="696" t="s">
        <v>70</v>
      </c>
      <c r="H137" s="1"/>
      <c r="K137" s="1"/>
    </row>
    <row r="138" spans="1:20" ht="9.9499999999999993" customHeight="1" thickBot="1" x14ac:dyDescent="0.25">
      <c r="K138" s="1"/>
    </row>
    <row r="139" spans="1:20" ht="35.1" customHeight="1" x14ac:dyDescent="0.2">
      <c r="B139" s="1093" t="s">
        <v>66</v>
      </c>
      <c r="C139" s="1094"/>
      <c r="D139" s="1094"/>
      <c r="E139" s="697" t="s">
        <v>72</v>
      </c>
      <c r="F139" s="698" t="e">
        <f>D123*H119</f>
        <v>#N/A</v>
      </c>
      <c r="G139" s="699" t="s">
        <v>69</v>
      </c>
      <c r="H139" s="700" t="e">
        <f>D122*H119</f>
        <v>#N/A</v>
      </c>
      <c r="I139" s="701" t="s">
        <v>386</v>
      </c>
      <c r="J139" s="1"/>
      <c r="K139" s="1"/>
    </row>
    <row r="140" spans="1:20" ht="35.1" customHeight="1" thickBot="1" x14ac:dyDescent="0.25">
      <c r="B140" s="1203" t="s">
        <v>66</v>
      </c>
      <c r="C140" s="1204"/>
      <c r="D140" s="1204"/>
      <c r="E140" s="702" t="s">
        <v>376</v>
      </c>
      <c r="F140" s="703" t="e">
        <f>F139/1000</f>
        <v>#N/A</v>
      </c>
      <c r="G140" s="704" t="s">
        <v>69</v>
      </c>
      <c r="H140" s="705" t="e">
        <f>H139/1000</f>
        <v>#N/A</v>
      </c>
      <c r="I140" s="706" t="s">
        <v>70</v>
      </c>
      <c r="J140" s="1"/>
      <c r="K140" s="1"/>
    </row>
    <row r="141" spans="1:20" ht="15" customHeight="1" x14ac:dyDescent="0.2">
      <c r="J141" s="1"/>
      <c r="K141" s="1"/>
    </row>
    <row r="142" spans="1:20" ht="15" customHeight="1" x14ac:dyDescent="0.2">
      <c r="H142" s="70"/>
    </row>
    <row r="143" spans="1:20" ht="15" customHeight="1" x14ac:dyDescent="0.2"/>
    <row r="144" spans="1:20" ht="15" customHeight="1" x14ac:dyDescent="0.2"/>
  </sheetData>
  <sheetProtection algorithmName="SHA-512" hashValue="aQyKXKVCQ/m6+7jx3xAtI1wbf8CqrDJJqpv79sVDzX3bgivyqlxnnipkGbd3iNn+NbaUSjb5BlUmNKhWWozLng==" saltValue="dcWF6LJL7b7c4pYOLSPN7Q==" spinCount="100000" sheet="1" objects="1" scenarios="1"/>
  <dataConsolidate>
    <dataRefs count="2">
      <dataRef ref="C5:D7" sheet="DATOS DE LOS PATRONES " r:id="rId1"/>
      <dataRef ref="K5:L7" sheet="DATOS DE LOS PATRONES " r:id="rId2"/>
    </dataRefs>
  </dataConsolidate>
  <mergeCells count="114">
    <mergeCell ref="J5:J6"/>
    <mergeCell ref="A1:B3"/>
    <mergeCell ref="B53:E53"/>
    <mergeCell ref="A67:L67"/>
    <mergeCell ref="B42:J42"/>
    <mergeCell ref="B12:C12"/>
    <mergeCell ref="G9:J9"/>
    <mergeCell ref="I10:J10"/>
    <mergeCell ref="G10:H10"/>
    <mergeCell ref="C1:L3"/>
    <mergeCell ref="B8:E8"/>
    <mergeCell ref="B9:C9"/>
    <mergeCell ref="B10:C10"/>
    <mergeCell ref="B11:C11"/>
    <mergeCell ref="G11:H11"/>
    <mergeCell ref="I11:J11"/>
    <mergeCell ref="I12:J12"/>
    <mergeCell ref="I13:J13"/>
    <mergeCell ref="I14:J14"/>
    <mergeCell ref="B27:K27"/>
    <mergeCell ref="G28:H28"/>
    <mergeCell ref="B29:C29"/>
    <mergeCell ref="B21:C23"/>
    <mergeCell ref="B18:C20"/>
    <mergeCell ref="B140:D140"/>
    <mergeCell ref="B13:C13"/>
    <mergeCell ref="G13:H13"/>
    <mergeCell ref="B14:C14"/>
    <mergeCell ref="A88:C88"/>
    <mergeCell ref="A87:C87"/>
    <mergeCell ref="B95:E95"/>
    <mergeCell ref="D89:E89"/>
    <mergeCell ref="D87:E87"/>
    <mergeCell ref="D88:E88"/>
    <mergeCell ref="F82:J82"/>
    <mergeCell ref="C80:E80"/>
    <mergeCell ref="C81:E81"/>
    <mergeCell ref="A80:B80"/>
    <mergeCell ref="A89:C89"/>
    <mergeCell ref="A79:B79"/>
    <mergeCell ref="C78:E78"/>
    <mergeCell ref="A78:B78"/>
    <mergeCell ref="B136:D136"/>
    <mergeCell ref="I119:K119"/>
    <mergeCell ref="K62:L62"/>
    <mergeCell ref="B104:D104"/>
    <mergeCell ref="C97:E97"/>
    <mergeCell ref="I112:K112"/>
    <mergeCell ref="G12:H12"/>
    <mergeCell ref="G14:H14"/>
    <mergeCell ref="B15:C15"/>
    <mergeCell ref="G15:H15"/>
    <mergeCell ref="I15:J15"/>
    <mergeCell ref="H19:H20"/>
    <mergeCell ref="I19:I20"/>
    <mergeCell ref="J19:J20"/>
    <mergeCell ref="B41:K41"/>
    <mergeCell ref="B17:J17"/>
    <mergeCell ref="G18:J18"/>
    <mergeCell ref="G19:G20"/>
    <mergeCell ref="K28:K29"/>
    <mergeCell ref="D20:F21"/>
    <mergeCell ref="D18:D19"/>
    <mergeCell ref="F18:F19"/>
    <mergeCell ref="D23:F23"/>
    <mergeCell ref="I113:K113"/>
    <mergeCell ref="I114:K114"/>
    <mergeCell ref="I115:K115"/>
    <mergeCell ref="A75:B75"/>
    <mergeCell ref="I108:K108"/>
    <mergeCell ref="I109:K109"/>
    <mergeCell ref="I107:K107"/>
    <mergeCell ref="G108:G109"/>
    <mergeCell ref="A107:G107"/>
    <mergeCell ref="F99:J99"/>
    <mergeCell ref="B105:D105"/>
    <mergeCell ref="F69:J69"/>
    <mergeCell ref="B64:C64"/>
    <mergeCell ref="B65:C65"/>
    <mergeCell ref="A73:E73"/>
    <mergeCell ref="A74:E74"/>
    <mergeCell ref="C24:D24"/>
    <mergeCell ref="B31:I31"/>
    <mergeCell ref="B33:G33"/>
    <mergeCell ref="F86:J86"/>
    <mergeCell ref="B52:L52"/>
    <mergeCell ref="F29:G29"/>
    <mergeCell ref="B61:I61"/>
    <mergeCell ref="K64:L64"/>
    <mergeCell ref="F77:J77"/>
    <mergeCell ref="B137:D137"/>
    <mergeCell ref="B139:D139"/>
    <mergeCell ref="E123:F123"/>
    <mergeCell ref="E122:F122"/>
    <mergeCell ref="A135:L135"/>
    <mergeCell ref="A121:L121"/>
    <mergeCell ref="G53:L53"/>
    <mergeCell ref="F85:J85"/>
    <mergeCell ref="I111:K111"/>
    <mergeCell ref="B72:D72"/>
    <mergeCell ref="F102:H102"/>
    <mergeCell ref="F96:J96"/>
    <mergeCell ref="F91:J91"/>
    <mergeCell ref="A92:C92"/>
    <mergeCell ref="A93:C93"/>
    <mergeCell ref="A94:C94"/>
    <mergeCell ref="D92:E92"/>
    <mergeCell ref="D93:E93"/>
    <mergeCell ref="D94:E94"/>
    <mergeCell ref="C79:E79"/>
    <mergeCell ref="C76:E76"/>
    <mergeCell ref="C75:E75"/>
    <mergeCell ref="I110:K110"/>
    <mergeCell ref="F72:J72"/>
  </mergeCells>
  <conditionalFormatting sqref="I119">
    <cfRule type="cellIs" dxfId="0" priority="1" operator="greaterThan">
      <formula>$I$118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39" orientation="portrait" r:id="rId3"/>
  <headerFooter>
    <oddFooter>&amp;RRT03-F12 Vr.5(2019-04-03)
Página &amp;P de 3</oddFooter>
  </headerFooter>
  <rowBreaks count="2" manualBreakCount="2">
    <brk id="50" max="16383" man="1"/>
    <brk id="97" max="11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'DATOS '!$C$27:$C$88</xm:f>
          </x14:formula1>
          <xm:sqref>E24 K21:K24</xm:sqref>
        </x14:dataValidation>
        <x14:dataValidation type="list" allowBlank="1" showInputMessage="1" showErrorMessage="1">
          <x14:formula1>
            <xm:f>'DATOS '!$C$7:$C$9</xm:f>
          </x14:formula1>
          <xm:sqref>J5:J6</xm:sqref>
        </x14:dataValidation>
        <x14:dataValidation type="list" allowBlank="1" showInputMessage="1" showErrorMessage="1">
          <x14:formula1>
            <xm:f>'DATOS '!$C$16:$C$22</xm:f>
          </x14:formula1>
          <xm:sqref>F8</xm:sqref>
        </x14:dataValidation>
        <x14:dataValidation type="list" allowBlank="1" showInputMessage="1" showErrorMessage="1">
          <x14:formula1>
            <xm:f>'DATOS '!$B$27:$B$88</xm:f>
          </x14:formula1>
          <xm:sqref>K10</xm:sqref>
        </x14:dataValidation>
        <x14:dataValidation type="list" allowBlank="1" showInputMessage="1" showErrorMessage="1">
          <x14:formula1>
            <xm:f>'DATOS '!$K$27:$K$45</xm:f>
          </x14:formula1>
          <xm:sqref>E19</xm:sqref>
        </x14:dataValidation>
        <x14:dataValidation type="list" allowBlank="1" showInputMessage="1" showErrorMessage="1">
          <x14:formula1>
            <xm:f>'DATOS '!$L$27:$L$52</xm:f>
          </x14:formula1>
          <xm:sqref>D22:F22</xm:sqref>
        </x14:dataValidation>
        <x14:dataValidation type="list" allowBlank="1" showInputMessage="1" showErrorMessage="1">
          <x14:formula1>
            <xm:f>'DATOS '!$G$160:$G$165</xm:f>
          </x14:formula1>
          <xm:sqref>K28:K29</xm:sqref>
        </x14:dataValidation>
        <x14:dataValidation type="list" allowBlank="1" showInputMessage="1" showErrorMessage="1">
          <x14:formula1>
            <xm:f>'DATOS '!$A$156:$A$159</xm:f>
          </x14:formula1>
          <xm:sqref>K62:L62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93"/>
  <sheetViews>
    <sheetView showGridLines="0" showRuler="0" showWhiteSpace="0" view="pageBreakPreview" zoomScale="80" zoomScaleNormal="110" zoomScaleSheetLayoutView="80" zoomScalePageLayoutView="85" workbookViewId="0">
      <selection activeCell="C50" sqref="C50"/>
    </sheetView>
  </sheetViews>
  <sheetFormatPr baseColWidth="10" defaultRowHeight="15" customHeight="1" x14ac:dyDescent="0.2"/>
  <cols>
    <col min="1" max="6" width="17.7109375" style="95" customWidth="1"/>
    <col min="7" max="16384" width="11.42578125" style="95"/>
  </cols>
  <sheetData>
    <row r="1" spans="1:6" ht="65.099999999999994" customHeight="1" x14ac:dyDescent="0.2">
      <c r="A1" s="409"/>
      <c r="B1" s="409"/>
      <c r="C1" s="410"/>
      <c r="D1" s="410"/>
      <c r="E1" s="410"/>
      <c r="F1" s="410"/>
    </row>
    <row r="2" spans="1:6" ht="12" customHeight="1" x14ac:dyDescent="0.2">
      <c r="A2" s="98"/>
      <c r="B2" s="98"/>
      <c r="D2" s="1324" t="s">
        <v>434</v>
      </c>
      <c r="E2" s="1324"/>
      <c r="F2" s="788" t="e">
        <f>'RT03-F12'!I6</f>
        <v>#N/A</v>
      </c>
    </row>
    <row r="3" spans="1:6" ht="20.100000000000001" customHeight="1" x14ac:dyDescent="0.2">
      <c r="A3" s="1317" t="s">
        <v>76</v>
      </c>
      <c r="B3" s="1317"/>
      <c r="C3" s="1317"/>
    </row>
    <row r="4" spans="1:6" ht="12" customHeight="1" x14ac:dyDescent="0.2">
      <c r="A4" s="411"/>
      <c r="B4" s="412"/>
      <c r="C4" s="412"/>
      <c r="D4" s="412"/>
      <c r="E4" s="412"/>
      <c r="F4" s="412"/>
    </row>
    <row r="5" spans="1:6" ht="15" customHeight="1" x14ac:dyDescent="0.2">
      <c r="A5" s="1287" t="s">
        <v>411</v>
      </c>
      <c r="B5" s="1287"/>
      <c r="C5" s="1327" t="e">
        <f>'RT03-F12'!G6</f>
        <v>#N/A</v>
      </c>
      <c r="D5" s="1287"/>
      <c r="E5" s="1287"/>
      <c r="F5" s="1287"/>
    </row>
    <row r="6" spans="1:6" ht="15" customHeight="1" thickBot="1" x14ac:dyDescent="0.25">
      <c r="A6" s="1287" t="s">
        <v>77</v>
      </c>
      <c r="B6" s="1287"/>
      <c r="C6" s="1327" t="e">
        <f>'RT03-F12'!H6</f>
        <v>#N/A</v>
      </c>
      <c r="D6" s="1327"/>
      <c r="E6" s="413"/>
      <c r="F6" s="413"/>
    </row>
    <row r="7" spans="1:6" ht="15" customHeight="1" thickTop="1" x14ac:dyDescent="0.2">
      <c r="A7" s="1287" t="s">
        <v>78</v>
      </c>
      <c r="B7" s="1287"/>
      <c r="C7" s="1327" t="e">
        <f>'RT03-F12'!B6</f>
        <v>#N/A</v>
      </c>
      <c r="D7" s="1287"/>
      <c r="E7" s="1328" t="s">
        <v>437</v>
      </c>
      <c r="F7" s="1329"/>
    </row>
    <row r="8" spans="1:6" ht="12" customHeight="1" x14ac:dyDescent="0.2">
      <c r="A8" s="1287"/>
      <c r="B8" s="1287"/>
      <c r="C8" s="414"/>
      <c r="D8" s="412"/>
      <c r="E8" s="1330"/>
      <c r="F8" s="1331"/>
    </row>
    <row r="9" spans="1:6" ht="15" customHeight="1" x14ac:dyDescent="0.2">
      <c r="A9" s="1287" t="s">
        <v>122</v>
      </c>
      <c r="B9" s="1287"/>
      <c r="C9" s="1287"/>
      <c r="D9" s="1287"/>
      <c r="E9" s="1330"/>
      <c r="F9" s="1331"/>
    </row>
    <row r="10" spans="1:6" ht="15" customHeight="1" x14ac:dyDescent="0.2">
      <c r="A10" s="1287" t="s">
        <v>80</v>
      </c>
      <c r="B10" s="1287"/>
      <c r="C10" s="1327" t="e">
        <f>'RT03-F12'!D9</f>
        <v>#N/A</v>
      </c>
      <c r="D10" s="1287"/>
      <c r="E10" s="1330"/>
      <c r="F10" s="1331"/>
    </row>
    <row r="11" spans="1:6" ht="15" customHeight="1" x14ac:dyDescent="0.2">
      <c r="A11" s="1287" t="s">
        <v>9</v>
      </c>
      <c r="B11" s="1287"/>
      <c r="C11" s="1321" t="e">
        <f>'RT03-F12'!D10</f>
        <v>#N/A</v>
      </c>
      <c r="D11" s="1287"/>
      <c r="E11" s="1330"/>
      <c r="F11" s="1331"/>
    </row>
    <row r="12" spans="1:6" ht="15" customHeight="1" x14ac:dyDescent="0.2">
      <c r="A12" s="1287" t="s">
        <v>81</v>
      </c>
      <c r="B12" s="1287"/>
      <c r="C12" s="415" t="e">
        <f>'RT03-F12'!D11</f>
        <v>#N/A</v>
      </c>
      <c r="D12" s="412"/>
      <c r="E12" s="1330"/>
      <c r="F12" s="1331"/>
    </row>
    <row r="13" spans="1:6" ht="20.100000000000001" customHeight="1" thickBot="1" x14ac:dyDescent="0.25">
      <c r="A13" s="416"/>
      <c r="B13" s="416"/>
      <c r="C13" s="416"/>
      <c r="D13" s="412"/>
      <c r="E13" s="1332"/>
      <c r="F13" s="1333"/>
    </row>
    <row r="14" spans="1:6" ht="15" customHeight="1" thickTop="1" x14ac:dyDescent="0.2">
      <c r="A14" s="417"/>
      <c r="B14" s="417"/>
      <c r="C14" s="417"/>
      <c r="D14" s="412"/>
      <c r="E14" s="418"/>
      <c r="F14" s="418"/>
    </row>
    <row r="15" spans="1:6" ht="12" customHeight="1" x14ac:dyDescent="0.2">
      <c r="A15" s="1287" t="s">
        <v>79</v>
      </c>
      <c r="B15" s="1287"/>
      <c r="C15" s="419" t="e">
        <f>'RT03-F12'!C6</f>
        <v>#N/A</v>
      </c>
      <c r="D15" s="1326" t="s">
        <v>82</v>
      </c>
      <c r="E15" s="1326"/>
      <c r="F15" s="419" t="e">
        <f>'RT03-F12'!F6</f>
        <v>#N/A</v>
      </c>
    </row>
    <row r="16" spans="1:6" ht="15" customHeight="1" x14ac:dyDescent="0.2">
      <c r="A16" s="417"/>
      <c r="B16" s="417"/>
      <c r="C16" s="420"/>
      <c r="D16" s="417"/>
      <c r="E16" s="417"/>
      <c r="F16" s="420"/>
    </row>
    <row r="17" spans="1:6" ht="20.100000000000001" customHeight="1" x14ac:dyDescent="0.2">
      <c r="A17" s="1317" t="s">
        <v>121</v>
      </c>
      <c r="B17" s="1317"/>
      <c r="C17" s="1317"/>
      <c r="D17" s="412"/>
      <c r="E17" s="412"/>
      <c r="F17" s="412"/>
    </row>
    <row r="18" spans="1:6" ht="12" customHeight="1" x14ac:dyDescent="0.2">
      <c r="A18" s="421"/>
      <c r="B18" s="421"/>
      <c r="C18" s="421"/>
      <c r="D18" s="412"/>
      <c r="E18" s="412"/>
      <c r="F18" s="412"/>
    </row>
    <row r="19" spans="1:6" ht="15" customHeight="1" x14ac:dyDescent="0.2">
      <c r="A19" s="1287" t="s">
        <v>117</v>
      </c>
      <c r="B19" s="1287"/>
      <c r="C19" s="422" t="e">
        <f>'RT03-F12'!D12</f>
        <v>#N/A</v>
      </c>
      <c r="D19" s="416" t="s">
        <v>88</v>
      </c>
      <c r="E19" s="416"/>
      <c r="F19" s="416"/>
    </row>
    <row r="20" spans="1:6" ht="15" customHeight="1" x14ac:dyDescent="0.2">
      <c r="A20" s="1287" t="s">
        <v>118</v>
      </c>
      <c r="B20" s="1287"/>
      <c r="C20" s="422" t="e">
        <f>'RT03-F12'!D13</f>
        <v>#N/A</v>
      </c>
      <c r="D20" s="416" t="s">
        <v>88</v>
      </c>
      <c r="E20" s="416"/>
      <c r="F20" s="416"/>
    </row>
    <row r="21" spans="1:6" ht="15" customHeight="1" x14ac:dyDescent="0.2">
      <c r="A21" s="1287" t="s">
        <v>119</v>
      </c>
      <c r="B21" s="1287"/>
      <c r="C21" s="423" t="e">
        <f>'RT03-F12'!D14</f>
        <v>#N/A</v>
      </c>
      <c r="D21" s="416" t="s">
        <v>88</v>
      </c>
      <c r="E21" s="416"/>
      <c r="F21" s="416"/>
    </row>
    <row r="22" spans="1:6" ht="15" customHeight="1" x14ac:dyDescent="0.2">
      <c r="A22" s="1287" t="s">
        <v>120</v>
      </c>
      <c r="B22" s="1287"/>
      <c r="C22" s="422" t="e">
        <f>'RT03-F12'!D15</f>
        <v>#N/A</v>
      </c>
      <c r="D22" s="416" t="s">
        <v>88</v>
      </c>
      <c r="E22" s="416"/>
      <c r="F22" s="416"/>
    </row>
    <row r="24" spans="1:6" ht="20.100000000000001" customHeight="1" x14ac:dyDescent="0.2">
      <c r="A24" s="1317" t="s">
        <v>388</v>
      </c>
      <c r="B24" s="1317"/>
      <c r="C24" s="1321" t="e">
        <f>'RT03-F12'!D6</f>
        <v>#N/A</v>
      </c>
      <c r="D24" s="1321"/>
      <c r="E24" s="1321"/>
      <c r="F24" s="412"/>
    </row>
    <row r="25" spans="1:6" ht="12" customHeight="1" x14ac:dyDescent="0.2">
      <c r="A25" s="416"/>
      <c r="B25" s="416"/>
      <c r="C25" s="416"/>
    </row>
    <row r="26" spans="1:6" ht="12" customHeight="1" x14ac:dyDescent="0.2">
      <c r="A26" s="1325" t="s">
        <v>460</v>
      </c>
      <c r="B26" s="1325"/>
      <c r="C26" s="1325"/>
    </row>
    <row r="27" spans="1:6" ht="12" customHeight="1" x14ac:dyDescent="0.2">
      <c r="A27" s="722"/>
      <c r="B27" s="722"/>
      <c r="C27" s="722"/>
    </row>
    <row r="28" spans="1:6" ht="20.100000000000001" customHeight="1" x14ac:dyDescent="0.2">
      <c r="A28" s="1313" t="s">
        <v>473</v>
      </c>
      <c r="B28" s="1313"/>
      <c r="C28" s="1313"/>
      <c r="D28" s="1313"/>
      <c r="E28" s="1313"/>
      <c r="F28" s="1313"/>
    </row>
    <row r="29" spans="1:6" ht="12" customHeight="1" x14ac:dyDescent="0.2">
      <c r="D29" s="425"/>
      <c r="E29" s="412"/>
      <c r="F29" s="412"/>
    </row>
    <row r="30" spans="1:6" ht="20.100000000000001" customHeight="1" x14ac:dyDescent="0.2">
      <c r="A30" s="1317" t="s">
        <v>123</v>
      </c>
      <c r="B30" s="1317"/>
      <c r="C30" s="1317"/>
      <c r="D30" s="1317"/>
      <c r="E30" s="1317"/>
      <c r="F30" s="1317"/>
    </row>
    <row r="31" spans="1:6" ht="12" customHeight="1" x14ac:dyDescent="0.2">
      <c r="A31" s="424"/>
      <c r="B31" s="424"/>
      <c r="C31" s="424"/>
      <c r="D31" s="425"/>
      <c r="E31" s="412"/>
      <c r="F31" s="412"/>
    </row>
    <row r="32" spans="1:6" ht="15" customHeight="1" x14ac:dyDescent="0.2">
      <c r="A32" s="1313" t="s">
        <v>472</v>
      </c>
      <c r="B32" s="1313"/>
      <c r="C32" s="1313"/>
      <c r="D32" s="1313"/>
      <c r="E32" s="1313"/>
      <c r="F32" s="1313"/>
    </row>
    <row r="33" spans="1:6" ht="12" customHeight="1" x14ac:dyDescent="0.2">
      <c r="A33" s="416"/>
      <c r="B33" s="416"/>
      <c r="C33" s="416"/>
      <c r="D33" s="416"/>
      <c r="E33" s="416"/>
      <c r="F33" s="416"/>
    </row>
    <row r="34" spans="1:6" ht="20.100000000000001" customHeight="1" x14ac:dyDescent="0.2">
      <c r="A34" s="1284" t="s">
        <v>124</v>
      </c>
      <c r="B34" s="1284"/>
      <c r="C34" s="1284"/>
      <c r="D34" s="1284"/>
      <c r="E34" s="416"/>
      <c r="F34" s="416"/>
    </row>
    <row r="35" spans="1:6" ht="12" customHeight="1" x14ac:dyDescent="0.2">
      <c r="A35" s="426"/>
      <c r="B35" s="426"/>
      <c r="C35" s="426"/>
      <c r="D35" s="426"/>
      <c r="E35" s="416"/>
      <c r="F35" s="416"/>
    </row>
    <row r="36" spans="1:6" ht="12.95" customHeight="1" x14ac:dyDescent="0.2">
      <c r="A36" s="1314" t="s">
        <v>427</v>
      </c>
      <c r="B36" s="1314"/>
      <c r="C36" s="1314"/>
      <c r="D36" s="1314"/>
      <c r="E36" s="1314"/>
      <c r="F36" s="1314"/>
    </row>
    <row r="37" spans="1:6" ht="12.95" customHeight="1" x14ac:dyDescent="0.2">
      <c r="A37" s="1314"/>
      <c r="B37" s="1314"/>
      <c r="C37" s="1314"/>
      <c r="D37" s="1314"/>
      <c r="E37" s="1314"/>
      <c r="F37" s="1314"/>
    </row>
    <row r="38" spans="1:6" ht="12.95" customHeight="1" x14ac:dyDescent="0.2">
      <c r="A38" s="1314"/>
      <c r="B38" s="1314"/>
      <c r="C38" s="1314"/>
      <c r="D38" s="1314"/>
      <c r="E38" s="1314"/>
      <c r="F38" s="1314"/>
    </row>
    <row r="39" spans="1:6" ht="21.75" customHeight="1" x14ac:dyDescent="0.2">
      <c r="A39" s="1314"/>
      <c r="B39" s="1314"/>
      <c r="C39" s="1314"/>
      <c r="D39" s="1314"/>
      <c r="E39" s="1314"/>
      <c r="F39" s="1314"/>
    </row>
    <row r="40" spans="1:6" ht="15" customHeight="1" x14ac:dyDescent="0.2">
      <c r="A40" s="1315"/>
      <c r="B40" s="1315"/>
      <c r="C40" s="1316"/>
      <c r="D40" s="1316"/>
      <c r="E40" s="1316"/>
      <c r="F40" s="1316"/>
    </row>
    <row r="41" spans="1:6" ht="22.5" customHeight="1" x14ac:dyDescent="0.2">
      <c r="A41" s="1284" t="s">
        <v>430</v>
      </c>
      <c r="B41" s="1284"/>
      <c r="C41" s="1284"/>
      <c r="D41" s="1284"/>
      <c r="E41" s="1284"/>
      <c r="F41" s="1284"/>
    </row>
    <row r="42" spans="1:6" ht="27" customHeight="1" x14ac:dyDescent="0.2">
      <c r="A42" s="1322" t="e">
        <f>C7</f>
        <v>#N/A</v>
      </c>
      <c r="B42" s="1323"/>
      <c r="C42" s="1322" t="e">
        <f>C6</f>
        <v>#N/A</v>
      </c>
      <c r="D42" s="1323"/>
      <c r="E42" s="411"/>
      <c r="F42" s="427"/>
    </row>
    <row r="43" spans="1:6" ht="15" customHeight="1" x14ac:dyDescent="0.2">
      <c r="A43" s="428"/>
      <c r="B43" s="429"/>
      <c r="C43" s="425"/>
      <c r="D43" s="412"/>
      <c r="E43" s="412"/>
      <c r="F43" s="412"/>
    </row>
    <row r="44" spans="1:6" ht="65.099999999999994" customHeight="1" x14ac:dyDescent="0.2">
      <c r="A44" s="428"/>
      <c r="B44" s="429"/>
      <c r="C44" s="425"/>
      <c r="D44" s="726"/>
      <c r="E44" s="726"/>
      <c r="F44" s="726"/>
    </row>
    <row r="45" spans="1:6" ht="12" customHeight="1" x14ac:dyDescent="0.2">
      <c r="A45" s="428"/>
      <c r="B45" s="429"/>
      <c r="C45" s="430"/>
      <c r="D45" s="1324" t="s">
        <v>434</v>
      </c>
      <c r="E45" s="1324" t="s">
        <v>2</v>
      </c>
      <c r="F45" s="789" t="e">
        <f>F2</f>
        <v>#N/A</v>
      </c>
    </row>
    <row r="46" spans="1:6" ht="20.100000000000001" customHeight="1" x14ac:dyDescent="0.2">
      <c r="A46" s="1284" t="s">
        <v>128</v>
      </c>
      <c r="B46" s="1284"/>
      <c r="C46" s="1284"/>
      <c r="D46" s="798" t="s">
        <v>423</v>
      </c>
      <c r="E46" s="431"/>
      <c r="F46" s="412"/>
    </row>
    <row r="47" spans="1:6" ht="15" customHeight="1" x14ac:dyDescent="0.2">
      <c r="C47" s="412"/>
      <c r="D47" s="412"/>
      <c r="E47" s="412"/>
      <c r="F47" s="412"/>
    </row>
    <row r="48" spans="1:6" ht="20.100000000000001" customHeight="1" x14ac:dyDescent="0.2">
      <c r="A48" s="1317" t="s">
        <v>333</v>
      </c>
      <c r="B48" s="1317"/>
      <c r="C48" s="1317"/>
      <c r="D48" s="1317"/>
      <c r="E48" s="412"/>
      <c r="F48" s="412"/>
    </row>
    <row r="49" spans="1:6" ht="15" customHeight="1" thickBot="1" x14ac:dyDescent="0.25">
      <c r="A49" s="432"/>
      <c r="B49" s="432"/>
      <c r="C49" s="432"/>
      <c r="D49" s="412"/>
      <c r="E49" s="412"/>
      <c r="F49" s="412"/>
    </row>
    <row r="50" spans="1:6" ht="33" customHeight="1" thickBot="1" x14ac:dyDescent="0.25">
      <c r="A50" s="433" t="s">
        <v>84</v>
      </c>
      <c r="B50" s="434" t="s">
        <v>85</v>
      </c>
      <c r="C50" s="434" t="s">
        <v>86</v>
      </c>
      <c r="D50" s="412"/>
      <c r="E50" s="412"/>
      <c r="F50" s="412"/>
    </row>
    <row r="51" spans="1:6" ht="20.100000000000001" customHeight="1" thickBot="1" x14ac:dyDescent="0.25">
      <c r="A51" s="435" t="e">
        <f>'RT03-F12'!E65</f>
        <v>#N/A</v>
      </c>
      <c r="B51" s="436" t="e">
        <f>'RT03-F12'!G65</f>
        <v>#N/A</v>
      </c>
      <c r="C51" s="436" t="e">
        <f>'RT03-F12'!I65</f>
        <v>#N/A</v>
      </c>
      <c r="D51" s="412"/>
      <c r="E51" s="412"/>
      <c r="F51" s="412"/>
    </row>
    <row r="52" spans="1:6" ht="15" customHeight="1" x14ac:dyDescent="0.2">
      <c r="A52" s="1318" t="s">
        <v>461</v>
      </c>
      <c r="B52" s="1318"/>
      <c r="C52" s="1318"/>
      <c r="D52" s="1318"/>
      <c r="E52" s="1318"/>
      <c r="F52" s="1318"/>
    </row>
    <row r="53" spans="1:6" ht="26.25" customHeight="1" x14ac:dyDescent="0.2">
      <c r="A53" s="432"/>
      <c r="B53" s="432"/>
      <c r="C53" s="432"/>
      <c r="D53" s="412"/>
      <c r="E53" s="412"/>
      <c r="F53" s="412"/>
    </row>
    <row r="54" spans="1:6" ht="20.100000000000001" customHeight="1" x14ac:dyDescent="0.2">
      <c r="A54" s="1284" t="s">
        <v>478</v>
      </c>
      <c r="B54" s="1284"/>
      <c r="C54" s="1284"/>
      <c r="D54" s="1284"/>
      <c r="E54" s="1284"/>
      <c r="F54" s="1284"/>
    </row>
    <row r="55" spans="1:6" ht="12" customHeight="1" thickBot="1" x14ac:dyDescent="0.25">
      <c r="A55" s="437"/>
      <c r="B55" s="437"/>
      <c r="C55" s="437"/>
      <c r="D55" s="437"/>
      <c r="E55" s="432"/>
      <c r="F55" s="432"/>
    </row>
    <row r="56" spans="1:6" ht="15" customHeight="1" thickBot="1" x14ac:dyDescent="0.25">
      <c r="A56" s="1319" t="s">
        <v>134</v>
      </c>
      <c r="B56" s="1320"/>
      <c r="C56" s="712" t="e">
        <f>'RT03-F12'!I12</f>
        <v>#N/A</v>
      </c>
      <c r="D56" s="412"/>
      <c r="E56" s="412"/>
      <c r="F56" s="412"/>
    </row>
    <row r="57" spans="1:6" ht="15" customHeight="1" thickBot="1" x14ac:dyDescent="0.25">
      <c r="A57" s="1311" t="s">
        <v>87</v>
      </c>
      <c r="B57" s="1312"/>
      <c r="C57" s="713" t="e">
        <f>'RT03-F12'!I13</f>
        <v>#N/A</v>
      </c>
      <c r="D57" s="412"/>
      <c r="E57" s="412"/>
      <c r="F57" s="412"/>
    </row>
    <row r="58" spans="1:6" ht="15" customHeight="1" thickBot="1" x14ac:dyDescent="0.25">
      <c r="A58" s="1289" t="s">
        <v>133</v>
      </c>
      <c r="B58" s="1290"/>
      <c r="C58" s="714" t="e">
        <f>'RT03-F12'!I14</f>
        <v>#N/A</v>
      </c>
      <c r="D58" s="412"/>
      <c r="E58" s="412"/>
      <c r="F58" s="412"/>
    </row>
    <row r="59" spans="1:6" ht="15" customHeight="1" x14ac:dyDescent="0.2">
      <c r="A59" s="416"/>
      <c r="B59" s="438"/>
      <c r="C59" s="412"/>
      <c r="D59" s="412"/>
      <c r="E59" s="412"/>
      <c r="F59" s="412"/>
    </row>
    <row r="60" spans="1:6" ht="20.100000000000001" customHeight="1" x14ac:dyDescent="0.2">
      <c r="A60" s="1284" t="s">
        <v>126</v>
      </c>
      <c r="B60" s="1284"/>
      <c r="C60" s="1284"/>
      <c r="D60" s="1284"/>
      <c r="E60" s="432"/>
      <c r="F60" s="432"/>
    </row>
    <row r="61" spans="1:6" ht="12" customHeight="1" x14ac:dyDescent="0.2">
      <c r="A61" s="432"/>
      <c r="B61" s="432"/>
      <c r="C61" s="432"/>
      <c r="D61" s="432"/>
      <c r="E61" s="432"/>
      <c r="F61" s="432"/>
    </row>
    <row r="62" spans="1:6" ht="15" customHeight="1" x14ac:dyDescent="0.2">
      <c r="A62" s="1284" t="s">
        <v>90</v>
      </c>
      <c r="B62" s="1284"/>
      <c r="C62" s="1284"/>
      <c r="D62" s="432"/>
      <c r="E62" s="432"/>
      <c r="F62" s="432"/>
    </row>
    <row r="63" spans="1:6" ht="15" customHeight="1" thickBot="1" x14ac:dyDescent="0.25">
      <c r="A63" s="432"/>
      <c r="B63" s="432"/>
      <c r="C63" s="432"/>
      <c r="D63" s="412"/>
      <c r="E63" s="412"/>
      <c r="F63" s="412"/>
    </row>
    <row r="64" spans="1:6" ht="15" customHeight="1" thickBot="1" x14ac:dyDescent="0.25">
      <c r="A64" s="1303" t="s">
        <v>420</v>
      </c>
      <c r="B64" s="1304"/>
      <c r="C64" s="1305"/>
      <c r="D64" s="432"/>
      <c r="E64" s="432"/>
      <c r="F64" s="432"/>
    </row>
    <row r="65" spans="1:6" ht="15" customHeight="1" thickBot="1" x14ac:dyDescent="0.25">
      <c r="A65" s="439" t="str">
        <f>'RT03-F12'!C34</f>
        <v>Carga</v>
      </c>
      <c r="B65" s="440">
        <f>'RT03-F12'!E34</f>
        <v>0</v>
      </c>
      <c r="C65" s="441" t="str">
        <f>'RT03-F12'!D34</f>
        <v>(g)</v>
      </c>
      <c r="D65" s="432"/>
      <c r="E65" s="442" t="s">
        <v>89</v>
      </c>
      <c r="F65" s="432"/>
    </row>
    <row r="66" spans="1:6" ht="15" customHeight="1" thickBot="1" x14ac:dyDescent="0.25">
      <c r="A66" s="439" t="str">
        <f>'RT03-F12'!B35</f>
        <v>Posición</v>
      </c>
      <c r="B66" s="441" t="str">
        <f>'RT03-F12'!B36</f>
        <v>Indicación (g)</v>
      </c>
      <c r="C66" s="443" t="s">
        <v>147</v>
      </c>
      <c r="D66" s="432"/>
      <c r="E66" s="432"/>
      <c r="F66" s="432"/>
    </row>
    <row r="67" spans="1:6" ht="20.100000000000001" customHeight="1" x14ac:dyDescent="0.2">
      <c r="A67" s="444">
        <f>'RT03-F12'!C35</f>
        <v>1</v>
      </c>
      <c r="B67" s="445">
        <f>'RT03-F12'!C36</f>
        <v>0</v>
      </c>
      <c r="C67" s="446">
        <f>'RT03-F12'!C37</f>
        <v>0</v>
      </c>
      <c r="D67" s="432"/>
      <c r="F67" s="432"/>
    </row>
    <row r="68" spans="1:6" ht="20.100000000000001" customHeight="1" x14ac:dyDescent="0.2">
      <c r="A68" s="444">
        <f>'RT03-F12'!D35</f>
        <v>2</v>
      </c>
      <c r="B68" s="236">
        <f>'RT03-F12'!D36</f>
        <v>0</v>
      </c>
      <c r="C68" s="236">
        <f>'RT03-F12'!D37</f>
        <v>0</v>
      </c>
      <c r="D68" s="432"/>
      <c r="E68" s="432"/>
      <c r="F68" s="432"/>
    </row>
    <row r="69" spans="1:6" ht="20.100000000000001" customHeight="1" x14ac:dyDescent="0.2">
      <c r="A69" s="447">
        <f>'RT03-F12'!E35</f>
        <v>3</v>
      </c>
      <c r="B69" s="236">
        <f>'RT03-F12'!E36</f>
        <v>0</v>
      </c>
      <c r="C69" s="236">
        <f>'RT03-F12'!E37</f>
        <v>0</v>
      </c>
      <c r="D69" s="432"/>
      <c r="E69" s="432"/>
      <c r="F69" s="432"/>
    </row>
    <row r="70" spans="1:6" ht="20.100000000000001" customHeight="1" x14ac:dyDescent="0.2">
      <c r="A70" s="447">
        <f>'RT03-F12'!F35</f>
        <v>4</v>
      </c>
      <c r="B70" s="236">
        <f>'RT03-F12'!F36</f>
        <v>0</v>
      </c>
      <c r="C70" s="236">
        <f>'RT03-F12'!F37</f>
        <v>0</v>
      </c>
      <c r="D70" s="432"/>
      <c r="E70" s="432"/>
      <c r="F70" s="432"/>
    </row>
    <row r="71" spans="1:6" ht="20.100000000000001" customHeight="1" x14ac:dyDescent="0.2">
      <c r="A71" s="447">
        <f>'RT03-F12'!G35</f>
        <v>5</v>
      </c>
      <c r="B71" s="236">
        <f>'RT03-F12'!G36</f>
        <v>5000.1000000000004</v>
      </c>
      <c r="C71" s="236">
        <f>'RT03-F12'!G37</f>
        <v>-5000.1000000000004</v>
      </c>
      <c r="D71" s="432"/>
      <c r="E71" s="432"/>
      <c r="F71" s="432"/>
    </row>
    <row r="72" spans="1:6" ht="20.100000000000001" customHeight="1" x14ac:dyDescent="0.2">
      <c r="A72" s="448" t="str">
        <f>'[4]PRUEBAS DE CALIBRACION'!F18</f>
        <v>DIF MAX EXC</v>
      </c>
      <c r="B72" s="236">
        <f>'RT03-F12'!C39</f>
        <v>5000100</v>
      </c>
      <c r="C72" s="449" t="s">
        <v>127</v>
      </c>
      <c r="D72" s="432"/>
      <c r="E72" s="432"/>
      <c r="F72" s="432"/>
    </row>
    <row r="73" spans="1:6" ht="15" customHeight="1" x14ac:dyDescent="0.2">
      <c r="A73" s="425"/>
      <c r="B73" s="450"/>
      <c r="C73" s="429"/>
      <c r="D73" s="432"/>
      <c r="E73" s="432"/>
      <c r="F73" s="432"/>
    </row>
    <row r="74" spans="1:6" ht="15" customHeight="1" x14ac:dyDescent="0.2">
      <c r="A74" s="1306" t="s">
        <v>431</v>
      </c>
      <c r="B74" s="1306"/>
      <c r="C74" s="1306"/>
      <c r="D74" s="1306"/>
      <c r="E74" s="1306"/>
      <c r="F74" s="1306"/>
    </row>
    <row r="75" spans="1:6" ht="15" customHeight="1" x14ac:dyDescent="0.2">
      <c r="A75" s="1306"/>
      <c r="B75" s="1306"/>
      <c r="C75" s="1306"/>
      <c r="D75" s="1306"/>
      <c r="E75" s="1306"/>
      <c r="F75" s="1306"/>
    </row>
    <row r="76" spans="1:6" ht="15" customHeight="1" x14ac:dyDescent="0.2">
      <c r="A76" s="1306"/>
      <c r="B76" s="1306"/>
      <c r="C76" s="1306"/>
      <c r="D76" s="1306"/>
      <c r="E76" s="1306"/>
      <c r="F76" s="1306"/>
    </row>
    <row r="77" spans="1:6" ht="15" customHeight="1" x14ac:dyDescent="0.2">
      <c r="A77" s="451"/>
      <c r="B77" s="451"/>
      <c r="C77" s="451"/>
      <c r="D77" s="451"/>
      <c r="E77" s="451"/>
      <c r="F77" s="451"/>
    </row>
    <row r="78" spans="1:6" ht="65.099999999999994" customHeight="1" x14ac:dyDescent="0.2">
      <c r="A78" s="451"/>
      <c r="B78" s="451"/>
      <c r="C78" s="451"/>
      <c r="D78" s="451"/>
      <c r="E78" s="451"/>
      <c r="F78" s="451"/>
    </row>
    <row r="79" spans="1:6" ht="15" customHeight="1" x14ac:dyDescent="0.2">
      <c r="D79" s="1288" t="s">
        <v>434</v>
      </c>
      <c r="E79" s="1288"/>
      <c r="F79" s="790" t="e">
        <f>F2</f>
        <v>#N/A</v>
      </c>
    </row>
    <row r="80" spans="1:6" ht="15" customHeight="1" x14ac:dyDescent="0.2">
      <c r="A80" s="1284" t="s">
        <v>92</v>
      </c>
      <c r="B80" s="1284"/>
      <c r="E80" s="425"/>
      <c r="F80" s="425"/>
    </row>
    <row r="81" spans="1:6" ht="15" customHeight="1" thickBot="1" x14ac:dyDescent="0.25">
      <c r="E81" s="425"/>
    </row>
    <row r="82" spans="1:6" ht="15" customHeight="1" thickBot="1" x14ac:dyDescent="0.25">
      <c r="A82" s="1307" t="s">
        <v>421</v>
      </c>
      <c r="B82" s="1308"/>
      <c r="C82" s="1308"/>
      <c r="D82" s="1309"/>
      <c r="E82" s="425"/>
      <c r="F82" s="425"/>
    </row>
    <row r="83" spans="1:6" ht="20.100000000000001" customHeight="1" thickBot="1" x14ac:dyDescent="0.25">
      <c r="A83" s="452" t="str">
        <f>'RT03-F12'!A43</f>
        <v>Cargas (g)</v>
      </c>
      <c r="B83" s="453">
        <f>'RT03-F12'!A44</f>
        <v>0</v>
      </c>
      <c r="C83" s="453">
        <f>'RT03-F12'!A45</f>
        <v>0</v>
      </c>
      <c r="D83" s="453">
        <f>'RT03-F12'!A46</f>
        <v>0</v>
      </c>
      <c r="E83" s="425"/>
      <c r="F83" s="425"/>
    </row>
    <row r="84" spans="1:6" ht="23.25" customHeight="1" thickBot="1" x14ac:dyDescent="0.25">
      <c r="A84" s="454" t="s">
        <v>432</v>
      </c>
      <c r="B84" s="454" t="s">
        <v>91</v>
      </c>
      <c r="C84" s="454" t="s">
        <v>91</v>
      </c>
      <c r="D84" s="454" t="s">
        <v>91</v>
      </c>
      <c r="E84" s="425"/>
      <c r="F84" s="425"/>
    </row>
    <row r="85" spans="1:6" ht="20.100000000000001" customHeight="1" x14ac:dyDescent="0.2">
      <c r="A85" s="444">
        <f>'RT03-F12'!B43</f>
        <v>1</v>
      </c>
      <c r="B85" s="446">
        <f>'RT03-F12'!B44</f>
        <v>0</v>
      </c>
      <c r="C85" s="446">
        <f>'RT03-F12'!B45</f>
        <v>0</v>
      </c>
      <c r="D85" s="446">
        <f>'RT03-F12'!B46</f>
        <v>0</v>
      </c>
      <c r="E85" s="425"/>
      <c r="F85" s="425"/>
    </row>
    <row r="86" spans="1:6" ht="20.100000000000001" customHeight="1" x14ac:dyDescent="0.2">
      <c r="A86" s="444">
        <f>'RT03-F12'!C43</f>
        <v>2</v>
      </c>
      <c r="B86" s="236">
        <f>'RT03-F12'!C44</f>
        <v>0</v>
      </c>
      <c r="C86" s="236">
        <f>'RT03-F12'!C45</f>
        <v>0</v>
      </c>
      <c r="D86" s="236">
        <f>'RT03-F12'!C46</f>
        <v>0</v>
      </c>
      <c r="E86" s="425"/>
      <c r="F86" s="425"/>
    </row>
    <row r="87" spans="1:6" ht="20.100000000000001" customHeight="1" x14ac:dyDescent="0.2">
      <c r="A87" s="444">
        <f>'RT03-F12'!D43</f>
        <v>3</v>
      </c>
      <c r="B87" s="236">
        <f>'RT03-F12'!D44</f>
        <v>0</v>
      </c>
      <c r="C87" s="236">
        <f>'RT03-F12'!D45</f>
        <v>0</v>
      </c>
      <c r="D87" s="236">
        <f>'RT03-F12'!D46</f>
        <v>0</v>
      </c>
      <c r="E87" s="425"/>
      <c r="F87" s="425"/>
    </row>
    <row r="88" spans="1:6" ht="20.100000000000001" customHeight="1" x14ac:dyDescent="0.2">
      <c r="A88" s="444">
        <f>'RT03-F12'!E43</f>
        <v>4</v>
      </c>
      <c r="B88" s="236">
        <f>'RT03-F12'!E44</f>
        <v>0</v>
      </c>
      <c r="C88" s="236">
        <f>'RT03-F12'!E45</f>
        <v>0</v>
      </c>
      <c r="D88" s="236">
        <f>'RT03-F12'!E46</f>
        <v>0</v>
      </c>
      <c r="E88" s="425"/>
      <c r="F88" s="425"/>
    </row>
    <row r="89" spans="1:6" ht="20.100000000000001" customHeight="1" x14ac:dyDescent="0.2">
      <c r="A89" s="444">
        <f>'RT03-F12'!F43</f>
        <v>5</v>
      </c>
      <c r="B89" s="236">
        <f>'RT03-F12'!F44</f>
        <v>0</v>
      </c>
      <c r="C89" s="236">
        <f>'RT03-F12'!F45</f>
        <v>0</v>
      </c>
      <c r="D89" s="236">
        <f>'RT03-F12'!F46</f>
        <v>0</v>
      </c>
      <c r="E89" s="425"/>
      <c r="F89" s="425"/>
    </row>
    <row r="90" spans="1:6" ht="20.100000000000001" customHeight="1" x14ac:dyDescent="0.2">
      <c r="A90" s="444">
        <f>'RT03-F12'!G43</f>
        <v>6</v>
      </c>
      <c r="B90" s="236">
        <f>'RT03-F12'!G44</f>
        <v>0</v>
      </c>
      <c r="C90" s="236">
        <f>'RT03-F12'!G45</f>
        <v>0</v>
      </c>
      <c r="D90" s="236">
        <f>'RT03-F12'!G46</f>
        <v>0</v>
      </c>
      <c r="E90" s="425"/>
      <c r="F90" s="425"/>
    </row>
    <row r="91" spans="1:6" ht="20.100000000000001" customHeight="1" x14ac:dyDescent="0.2">
      <c r="A91" s="444">
        <f>'RT03-F12'!H43</f>
        <v>7</v>
      </c>
      <c r="B91" s="236">
        <f>'RT03-F12'!H44</f>
        <v>0</v>
      </c>
      <c r="C91" s="236">
        <f>'RT03-F12'!H45</f>
        <v>0</v>
      </c>
      <c r="D91" s="236">
        <f>'RT03-F12'!H46</f>
        <v>0</v>
      </c>
      <c r="E91" s="425"/>
      <c r="F91" s="425"/>
    </row>
    <row r="92" spans="1:6" ht="20.100000000000001" customHeight="1" x14ac:dyDescent="0.2">
      <c r="A92" s="444">
        <f>'RT03-F12'!I43</f>
        <v>8</v>
      </c>
      <c r="B92" s="236">
        <f>'RT03-F12'!I44</f>
        <v>0</v>
      </c>
      <c r="C92" s="236">
        <f>'RT03-F12'!I45</f>
        <v>0</v>
      </c>
      <c r="D92" s="236">
        <f>'RT03-F12'!I46</f>
        <v>0</v>
      </c>
      <c r="E92" s="425"/>
      <c r="F92" s="425"/>
    </row>
    <row r="93" spans="1:6" ht="20.100000000000001" customHeight="1" x14ac:dyDescent="0.2">
      <c r="A93" s="444">
        <f>'RT03-F12'!J43</f>
        <v>9</v>
      </c>
      <c r="B93" s="236">
        <f>'RT03-F12'!J44</f>
        <v>0</v>
      </c>
      <c r="C93" s="236">
        <f>'RT03-F12'!J45</f>
        <v>0</v>
      </c>
      <c r="D93" s="236">
        <f>'RT03-F12'!J46</f>
        <v>0</v>
      </c>
      <c r="E93" s="425"/>
      <c r="F93" s="425"/>
    </row>
    <row r="94" spans="1:6" ht="20.100000000000001" customHeight="1" x14ac:dyDescent="0.2">
      <c r="A94" s="444">
        <f>'RT03-F12'!K43</f>
        <v>10</v>
      </c>
      <c r="B94" s="236">
        <f>'RT03-F12'!K44</f>
        <v>0</v>
      </c>
      <c r="C94" s="236">
        <f>'RT03-F12'!K45</f>
        <v>0</v>
      </c>
      <c r="D94" s="236">
        <f>'RT03-F12'!K46</f>
        <v>0</v>
      </c>
      <c r="E94" s="432"/>
      <c r="F94" s="432"/>
    </row>
    <row r="95" spans="1:6" ht="15" customHeight="1" x14ac:dyDescent="0.2">
      <c r="A95" s="412"/>
      <c r="B95" s="412"/>
      <c r="C95" s="412"/>
      <c r="D95" s="432"/>
      <c r="E95" s="432"/>
      <c r="F95" s="432"/>
    </row>
    <row r="96" spans="1:6" ht="15" customHeight="1" x14ac:dyDescent="0.2">
      <c r="A96" s="1310" t="s">
        <v>418</v>
      </c>
      <c r="B96" s="1310"/>
      <c r="C96" s="1310"/>
      <c r="D96" s="1310"/>
      <c r="E96" s="1310"/>
      <c r="F96" s="1310"/>
    </row>
    <row r="97" spans="1:6" ht="15" customHeight="1" x14ac:dyDescent="0.2">
      <c r="A97" s="1310"/>
      <c r="B97" s="1310"/>
      <c r="C97" s="1310"/>
      <c r="D97" s="1310"/>
      <c r="E97" s="1310"/>
      <c r="F97" s="1310"/>
    </row>
    <row r="98" spans="1:6" ht="15" customHeight="1" x14ac:dyDescent="0.2">
      <c r="A98" s="1310"/>
      <c r="B98" s="1310"/>
      <c r="C98" s="1310"/>
      <c r="D98" s="1310"/>
      <c r="E98" s="1310"/>
      <c r="F98" s="1310"/>
    </row>
    <row r="99" spans="1:6" ht="15" customHeight="1" x14ac:dyDescent="0.2">
      <c r="A99" s="1310"/>
      <c r="B99" s="1310"/>
      <c r="C99" s="1310"/>
      <c r="D99" s="1310"/>
      <c r="E99" s="1310"/>
      <c r="F99" s="1310"/>
    </row>
    <row r="100" spans="1:6" ht="15" customHeight="1" x14ac:dyDescent="0.2">
      <c r="E100" s="432"/>
      <c r="F100" s="432"/>
    </row>
    <row r="101" spans="1:6" ht="15" customHeight="1" x14ac:dyDescent="0.2">
      <c r="A101" s="1284" t="s">
        <v>422</v>
      </c>
      <c r="B101" s="1284"/>
      <c r="C101" s="1284"/>
      <c r="D101" s="1284"/>
      <c r="E101" s="412"/>
      <c r="F101" s="412"/>
    </row>
    <row r="102" spans="1:6" ht="15" customHeight="1" thickBot="1" x14ac:dyDescent="0.25"/>
    <row r="103" spans="1:6" ht="15" customHeight="1" thickBot="1" x14ac:dyDescent="0.25">
      <c r="A103" s="1300" t="s">
        <v>417</v>
      </c>
      <c r="B103" s="1301"/>
      <c r="C103" s="1302"/>
      <c r="D103" s="412"/>
      <c r="E103" s="412"/>
      <c r="F103" s="412"/>
    </row>
    <row r="104" spans="1:6" ht="29.25" customHeight="1" thickBot="1" x14ac:dyDescent="0.25">
      <c r="A104" s="455" t="s">
        <v>18</v>
      </c>
      <c r="B104" s="456" t="s">
        <v>149</v>
      </c>
      <c r="C104" s="457" t="s">
        <v>375</v>
      </c>
      <c r="D104" s="412"/>
      <c r="E104" s="412"/>
      <c r="F104" s="412"/>
    </row>
    <row r="105" spans="1:6" ht="19.5" customHeight="1" x14ac:dyDescent="0.2">
      <c r="A105" s="458" t="e">
        <f>'RT03-F12'!B55</f>
        <v>#N/A</v>
      </c>
      <c r="B105" s="459">
        <f>'RT03-F12'!C55</f>
        <v>0</v>
      </c>
      <c r="C105" s="460" t="e">
        <f>'RT03-F12'!D55</f>
        <v>#N/A</v>
      </c>
      <c r="D105" s="412"/>
      <c r="E105" s="412"/>
      <c r="F105" s="412"/>
    </row>
    <row r="106" spans="1:6" ht="20.100000000000001" customHeight="1" x14ac:dyDescent="0.2">
      <c r="A106" s="461" t="e">
        <f>'RT03-F12'!B56</f>
        <v>#N/A</v>
      </c>
      <c r="B106" s="462">
        <f>'RT03-F12'!C56</f>
        <v>0</v>
      </c>
      <c r="C106" s="460" t="e">
        <f>'RT03-F12'!D56</f>
        <v>#N/A</v>
      </c>
      <c r="D106" s="412"/>
      <c r="E106" s="412"/>
      <c r="F106" s="412"/>
    </row>
    <row r="107" spans="1:6" ht="20.100000000000001" customHeight="1" x14ac:dyDescent="0.2">
      <c r="A107" s="461" t="e">
        <f>'RT03-F12'!B57</f>
        <v>#N/A</v>
      </c>
      <c r="B107" s="462">
        <f>'RT03-F12'!C57</f>
        <v>0</v>
      </c>
      <c r="C107" s="460" t="e">
        <f>'RT03-F12'!D57</f>
        <v>#N/A</v>
      </c>
      <c r="D107" s="412"/>
      <c r="E107" s="412"/>
      <c r="F107" s="412"/>
    </row>
    <row r="108" spans="1:6" ht="20.100000000000001" customHeight="1" x14ac:dyDescent="0.2">
      <c r="A108" s="461" t="e">
        <f>'RT03-F12'!B58</f>
        <v>#N/A</v>
      </c>
      <c r="B108" s="462">
        <f>'RT03-F12'!C58</f>
        <v>0</v>
      </c>
      <c r="C108" s="463" t="e">
        <f>'RT03-F12'!D58</f>
        <v>#N/A</v>
      </c>
      <c r="D108" s="412"/>
      <c r="E108" s="412"/>
      <c r="F108" s="412"/>
    </row>
    <row r="109" spans="1:6" ht="20.100000000000001" customHeight="1" x14ac:dyDescent="0.2">
      <c r="A109" s="461" t="e">
        <f>'RT03-F12'!B59</f>
        <v>#N/A</v>
      </c>
      <c r="B109" s="462">
        <f>'RT03-F12'!C59</f>
        <v>0</v>
      </c>
      <c r="C109" s="463" t="e">
        <f>'RT03-F12'!D59</f>
        <v>#N/A</v>
      </c>
      <c r="D109" s="412"/>
      <c r="E109" s="412"/>
      <c r="F109" s="412"/>
    </row>
    <row r="110" spans="1:6" ht="15.95" customHeight="1" x14ac:dyDescent="0.2">
      <c r="A110" s="464"/>
      <c r="B110" s="464"/>
      <c r="C110" s="464"/>
      <c r="D110" s="412"/>
      <c r="E110" s="412"/>
      <c r="F110" s="464"/>
    </row>
    <row r="111" spans="1:6" ht="65.099999999999994" customHeight="1" x14ac:dyDescent="0.2">
      <c r="A111" s="464"/>
      <c r="B111" s="464"/>
      <c r="C111" s="464"/>
      <c r="D111" s="726"/>
      <c r="E111" s="726"/>
      <c r="F111" s="464"/>
    </row>
    <row r="112" spans="1:6" ht="15.95" customHeight="1" thickBot="1" x14ac:dyDescent="0.25">
      <c r="A112" s="464"/>
      <c r="B112" s="464"/>
      <c r="C112" s="464"/>
      <c r="D112" s="1288" t="s">
        <v>2</v>
      </c>
      <c r="E112" s="1288"/>
      <c r="F112" s="789" t="e">
        <f>F2</f>
        <v>#N/A</v>
      </c>
    </row>
    <row r="113" spans="1:6" ht="15.95" customHeight="1" thickBot="1" x14ac:dyDescent="0.25">
      <c r="A113" s="1300" t="s">
        <v>419</v>
      </c>
      <c r="B113" s="1301"/>
      <c r="C113" s="1302"/>
    </row>
    <row r="114" spans="1:6" ht="15.95" customHeight="1" thickBot="1" x14ac:dyDescent="0.25">
      <c r="A114" s="465" t="str">
        <f>'RT03-F12'!B54</f>
        <v>Cargas (g)</v>
      </c>
      <c r="B114" s="454" t="s">
        <v>327</v>
      </c>
      <c r="C114" s="454" t="s">
        <v>326</v>
      </c>
      <c r="E114" s="466"/>
    </row>
    <row r="115" spans="1:6" ht="15.95" customHeight="1" x14ac:dyDescent="0.2">
      <c r="A115" s="467" t="e">
        <f>'RT03-F12'!B55</f>
        <v>#N/A</v>
      </c>
      <c r="B115" s="468" t="e">
        <f>'RT03-F12'!K55</f>
        <v>#DIV/0!</v>
      </c>
      <c r="C115" s="468" t="e">
        <f>'RT03-F12'!F105</f>
        <v>#DIV/0!</v>
      </c>
      <c r="E115" s="466"/>
    </row>
    <row r="116" spans="1:6" ht="15.95" customHeight="1" x14ac:dyDescent="0.2">
      <c r="A116" s="469" t="e">
        <f>'RT03-F12'!B56</f>
        <v>#N/A</v>
      </c>
      <c r="B116" s="468" t="e">
        <f>'RT03-F12'!K56</f>
        <v>#DIV/0!</v>
      </c>
      <c r="C116" s="468" t="e">
        <f>'RT03-F12'!G105</f>
        <v>#DIV/0!</v>
      </c>
      <c r="E116" s="466"/>
    </row>
    <row r="117" spans="1:6" ht="15.95" customHeight="1" x14ac:dyDescent="0.2">
      <c r="A117" s="470" t="e">
        <f>'RT03-F12'!B57</f>
        <v>#N/A</v>
      </c>
      <c r="B117" s="471" t="e">
        <f>'RT03-F12'!K57</f>
        <v>#DIV/0!</v>
      </c>
      <c r="C117" s="471" t="e">
        <f>'RT03-F12'!H105</f>
        <v>#DIV/0!</v>
      </c>
      <c r="E117" s="466"/>
    </row>
    <row r="118" spans="1:6" ht="15.95" customHeight="1" x14ac:dyDescent="0.2">
      <c r="A118" s="469" t="e">
        <f>'RT03-F12'!B58</f>
        <v>#N/A</v>
      </c>
      <c r="B118" s="471" t="e">
        <f>'RT03-F12'!K58</f>
        <v>#DIV/0!</v>
      </c>
      <c r="C118" s="471" t="e">
        <f>'RT03-F12'!I105</f>
        <v>#DIV/0!</v>
      </c>
      <c r="D118" s="425"/>
      <c r="E118" s="466"/>
      <c r="F118" s="425"/>
    </row>
    <row r="119" spans="1:6" ht="15.95" customHeight="1" x14ac:dyDescent="0.2">
      <c r="A119" s="470" t="e">
        <f>'RT03-F12'!B59</f>
        <v>#N/A</v>
      </c>
      <c r="B119" s="471" t="e">
        <f>'RT03-F12'!K59</f>
        <v>#DIV/0!</v>
      </c>
      <c r="C119" s="471" t="e">
        <f>'RT03-F12'!J105</f>
        <v>#DIV/0!</v>
      </c>
      <c r="D119" s="425"/>
      <c r="E119" s="466"/>
      <c r="F119" s="425"/>
    </row>
    <row r="120" spans="1:6" ht="15.95" customHeight="1" x14ac:dyDescent="0.2">
      <c r="A120" s="472"/>
      <c r="B120" s="473"/>
      <c r="C120" s="473"/>
      <c r="D120" s="425"/>
      <c r="E120" s="466"/>
      <c r="F120" s="425"/>
    </row>
    <row r="121" spans="1:6" ht="15.95" customHeight="1" x14ac:dyDescent="0.2">
      <c r="A121" s="96"/>
      <c r="B121" s="429"/>
      <c r="C121" s="429"/>
      <c r="D121" s="425"/>
      <c r="E121" s="466"/>
      <c r="F121" s="425"/>
    </row>
    <row r="122" spans="1:6" ht="15" customHeight="1" x14ac:dyDescent="0.2">
      <c r="A122" s="464"/>
      <c r="B122" s="429"/>
      <c r="C122" s="429"/>
      <c r="D122" s="412"/>
      <c r="E122" s="412"/>
      <c r="F122" s="412"/>
    </row>
    <row r="123" spans="1:6" ht="15" customHeight="1" x14ac:dyDescent="0.2">
      <c r="A123" s="425"/>
      <c r="B123" s="474"/>
      <c r="C123" s="425"/>
      <c r="D123" s="425"/>
      <c r="E123" s="425"/>
      <c r="F123" s="425"/>
    </row>
    <row r="124" spans="1:6" ht="15" customHeight="1" x14ac:dyDescent="0.2">
      <c r="A124" s="425"/>
      <c r="B124" s="425"/>
      <c r="C124" s="425"/>
      <c r="D124" s="425"/>
      <c r="E124" s="425"/>
      <c r="F124" s="425"/>
    </row>
    <row r="125" spans="1:6" ht="15" customHeight="1" x14ac:dyDescent="0.2">
      <c r="A125" s="425"/>
      <c r="B125" s="425"/>
      <c r="C125" s="425"/>
      <c r="D125" s="425"/>
      <c r="E125" s="425"/>
      <c r="F125" s="425"/>
    </row>
    <row r="126" spans="1:6" ht="15" customHeight="1" x14ac:dyDescent="0.2">
      <c r="A126" s="425"/>
      <c r="B126" s="425"/>
      <c r="C126" s="425"/>
      <c r="D126" s="425"/>
      <c r="E126" s="425"/>
      <c r="F126" s="425"/>
    </row>
    <row r="127" spans="1:6" ht="15" customHeight="1" x14ac:dyDescent="0.2">
      <c r="A127" s="425"/>
      <c r="B127" s="425"/>
      <c r="C127" s="425"/>
      <c r="D127" s="425"/>
      <c r="E127" s="425"/>
      <c r="F127" s="425"/>
    </row>
    <row r="128" spans="1:6" ht="15" customHeight="1" x14ac:dyDescent="0.2">
      <c r="A128" s="425"/>
      <c r="B128" s="425"/>
      <c r="C128" s="425"/>
      <c r="D128" s="425"/>
      <c r="E128" s="425"/>
      <c r="F128" s="425"/>
    </row>
    <row r="129" spans="1:6" ht="15" customHeight="1" x14ac:dyDescent="0.2">
      <c r="A129" s="425"/>
      <c r="B129" s="425"/>
      <c r="C129" s="425"/>
      <c r="D129" s="425"/>
      <c r="E129" s="425"/>
      <c r="F129" s="425"/>
    </row>
    <row r="130" spans="1:6" ht="15" customHeight="1" x14ac:dyDescent="0.2">
      <c r="A130" s="425"/>
      <c r="B130" s="425"/>
      <c r="C130" s="425"/>
      <c r="D130" s="425"/>
      <c r="E130" s="425"/>
      <c r="F130" s="425"/>
    </row>
    <row r="131" spans="1:6" ht="15" customHeight="1" x14ac:dyDescent="0.2">
      <c r="A131" s="425"/>
      <c r="B131" s="425"/>
      <c r="C131" s="425"/>
      <c r="D131" s="425"/>
      <c r="E131" s="425"/>
      <c r="F131" s="425"/>
    </row>
    <row r="132" spans="1:6" ht="15" customHeight="1" x14ac:dyDescent="0.2">
      <c r="A132" s="425"/>
      <c r="B132" s="425"/>
      <c r="C132" s="425"/>
      <c r="D132" s="425"/>
      <c r="E132" s="425"/>
      <c r="F132" s="425"/>
    </row>
    <row r="133" spans="1:6" ht="15" customHeight="1" x14ac:dyDescent="0.2">
      <c r="A133" s="425"/>
      <c r="B133" s="425"/>
      <c r="C133" s="425"/>
      <c r="D133" s="425"/>
      <c r="E133" s="425"/>
      <c r="F133" s="425"/>
    </row>
    <row r="134" spans="1:6" ht="15" customHeight="1" x14ac:dyDescent="0.2">
      <c r="A134" s="425"/>
      <c r="B134" s="425"/>
      <c r="C134" s="425"/>
      <c r="D134" s="425"/>
      <c r="E134" s="425"/>
      <c r="F134" s="425"/>
    </row>
    <row r="135" spans="1:6" ht="15" customHeight="1" x14ac:dyDescent="0.2">
      <c r="D135" s="412"/>
      <c r="E135" s="412"/>
      <c r="F135" s="412"/>
    </row>
    <row r="136" spans="1:6" ht="15" customHeight="1" x14ac:dyDescent="0.2">
      <c r="A136" s="412"/>
      <c r="B136" s="412"/>
      <c r="C136" s="412"/>
      <c r="D136" s="412"/>
      <c r="E136" s="412"/>
      <c r="F136" s="412"/>
    </row>
    <row r="137" spans="1:6" ht="15" customHeight="1" x14ac:dyDescent="0.2">
      <c r="A137" s="412"/>
      <c r="B137" s="412"/>
      <c r="C137" s="412"/>
      <c r="D137" s="412"/>
      <c r="E137" s="412"/>
      <c r="F137" s="412"/>
    </row>
    <row r="138" spans="1:6" ht="15" customHeight="1" x14ac:dyDescent="0.2">
      <c r="A138" s="412"/>
      <c r="B138" s="412"/>
      <c r="C138" s="412"/>
      <c r="D138" s="412"/>
      <c r="E138" s="412"/>
      <c r="F138" s="412"/>
    </row>
    <row r="139" spans="1:6" ht="15" customHeight="1" x14ac:dyDescent="0.2">
      <c r="A139" s="412"/>
      <c r="B139" s="412"/>
      <c r="C139" s="412"/>
      <c r="D139" s="412"/>
      <c r="E139" s="412"/>
      <c r="F139" s="412"/>
    </row>
    <row r="140" spans="1:6" ht="15" customHeight="1" x14ac:dyDescent="0.2">
      <c r="A140" s="1299" t="s">
        <v>374</v>
      </c>
      <c r="B140" s="1299"/>
      <c r="C140" s="1299"/>
      <c r="D140" s="1299"/>
      <c r="E140" s="1299"/>
      <c r="F140" s="1299"/>
    </row>
    <row r="141" spans="1:6" ht="15" customHeight="1" x14ac:dyDescent="0.2">
      <c r="A141" s="1299"/>
      <c r="B141" s="1299"/>
      <c r="C141" s="1299"/>
      <c r="D141" s="1299"/>
      <c r="E141" s="1299"/>
      <c r="F141" s="1299"/>
    </row>
    <row r="142" spans="1:6" ht="12" customHeight="1" x14ac:dyDescent="0.2">
      <c r="A142" s="451"/>
      <c r="B142" s="451"/>
      <c r="C142" s="451"/>
      <c r="D142" s="451"/>
      <c r="E142" s="451"/>
      <c r="F142" s="451"/>
    </row>
    <row r="143" spans="1:6" ht="20.100000000000001" customHeight="1" x14ac:dyDescent="0.2">
      <c r="A143" s="1284"/>
      <c r="B143" s="1284"/>
      <c r="C143" s="1284"/>
      <c r="D143" s="412"/>
      <c r="E143" s="412"/>
      <c r="F143" s="412"/>
    </row>
    <row r="144" spans="1:6" ht="12" customHeight="1" x14ac:dyDescent="0.2">
      <c r="A144" s="1298" t="s">
        <v>474</v>
      </c>
      <c r="B144" s="1298"/>
      <c r="C144" s="1298"/>
      <c r="D144" s="1298"/>
      <c r="E144" s="1298"/>
      <c r="F144" s="412"/>
    </row>
    <row r="145" spans="1:6" ht="12" customHeight="1" x14ac:dyDescent="0.2">
      <c r="A145" s="722"/>
      <c r="B145" s="722"/>
      <c r="C145" s="722"/>
      <c r="D145" s="722"/>
      <c r="E145" s="722"/>
      <c r="F145" s="724"/>
    </row>
    <row r="146" spans="1:6" ht="12" customHeight="1" x14ac:dyDescent="0.2">
      <c r="A146" s="1283" t="s">
        <v>475</v>
      </c>
      <c r="B146" s="1283"/>
      <c r="C146" s="1283"/>
      <c r="D146" s="1283"/>
      <c r="E146" s="1283"/>
      <c r="F146" s="1283"/>
    </row>
    <row r="147" spans="1:6" ht="12" customHeight="1" x14ac:dyDescent="0.2">
      <c r="A147" s="1283"/>
      <c r="B147" s="1283"/>
      <c r="C147" s="1283"/>
      <c r="D147" s="1283"/>
      <c r="E147" s="1283"/>
      <c r="F147" s="1283"/>
    </row>
    <row r="148" spans="1:6" ht="35.25" customHeight="1" x14ac:dyDescent="0.2">
      <c r="A148" s="1283"/>
      <c r="B148" s="1283"/>
      <c r="C148" s="1283"/>
      <c r="D148" s="1283"/>
      <c r="E148" s="1283"/>
      <c r="F148" s="1283"/>
    </row>
    <row r="149" spans="1:6" ht="15" customHeight="1" thickBot="1" x14ac:dyDescent="0.25">
      <c r="A149" s="421"/>
      <c r="B149" s="421"/>
      <c r="C149" s="421"/>
      <c r="D149" s="421"/>
      <c r="E149" s="421"/>
      <c r="F149" s="421"/>
    </row>
    <row r="150" spans="1:6" ht="39.950000000000003" customHeight="1" thickTop="1" thickBot="1" x14ac:dyDescent="0.25">
      <c r="A150" s="792" t="s">
        <v>326</v>
      </c>
      <c r="B150" s="793"/>
      <c r="C150" s="794" t="s">
        <v>424</v>
      </c>
      <c r="D150" s="795" t="e">
        <f>IF('RT03-F12'!H140&lt;=('DATOS '!J157),"0,078",'RT03-F12'!H140)</f>
        <v>#N/A</v>
      </c>
      <c r="E150" s="793" t="s">
        <v>70</v>
      </c>
      <c r="F150" s="796"/>
    </row>
    <row r="151" spans="1:6" ht="15" customHeight="1" thickTop="1" x14ac:dyDescent="0.35">
      <c r="A151" s="784"/>
      <c r="B151" s="785"/>
      <c r="C151" s="785"/>
      <c r="D151" s="785"/>
      <c r="E151" s="783"/>
      <c r="F151" s="783"/>
    </row>
    <row r="152" spans="1:6" ht="15" customHeight="1" x14ac:dyDescent="0.2">
      <c r="F152" s="425"/>
    </row>
    <row r="153" spans="1:6" ht="36" customHeight="1" x14ac:dyDescent="0.2"/>
    <row r="154" spans="1:6" ht="15" customHeight="1" x14ac:dyDescent="0.2">
      <c r="A154" s="421"/>
      <c r="B154" s="421"/>
      <c r="C154" s="421"/>
      <c r="D154" s="475"/>
      <c r="E154" s="477"/>
      <c r="F154" s="476"/>
    </row>
    <row r="155" spans="1:6" ht="65.099999999999994" customHeight="1" x14ac:dyDescent="0.2"/>
    <row r="156" spans="1:6" ht="15" customHeight="1" x14ac:dyDescent="0.2">
      <c r="A156" s="425"/>
      <c r="B156" s="464"/>
      <c r="C156" s="431"/>
      <c r="D156" s="425"/>
      <c r="E156" s="478"/>
    </row>
    <row r="157" spans="1:6" ht="15" customHeight="1" x14ac:dyDescent="0.2">
      <c r="A157" s="425"/>
      <c r="B157" s="464"/>
      <c r="C157" s="431"/>
      <c r="D157" s="1288" t="s">
        <v>2</v>
      </c>
      <c r="E157" s="1288"/>
      <c r="F157" s="479" t="e">
        <f>F2</f>
        <v>#N/A</v>
      </c>
    </row>
    <row r="158" spans="1:6" ht="15" customHeight="1" x14ac:dyDescent="0.2">
      <c r="A158" s="425"/>
      <c r="B158" s="464"/>
      <c r="C158" s="431"/>
      <c r="D158" s="425"/>
      <c r="E158" s="478"/>
    </row>
    <row r="159" spans="1:6" ht="15" customHeight="1" x14ac:dyDescent="0.2">
      <c r="A159" s="1285" t="s">
        <v>93</v>
      </c>
      <c r="B159" s="1285"/>
      <c r="C159" s="1285"/>
      <c r="D159" s="1285"/>
      <c r="E159" s="1285"/>
      <c r="F159" s="1285"/>
    </row>
    <row r="160" spans="1:6" ht="15" customHeight="1" x14ac:dyDescent="0.2">
      <c r="A160" s="1285"/>
      <c r="B160" s="1285"/>
      <c r="C160" s="1285"/>
      <c r="D160" s="1285"/>
      <c r="E160" s="1285"/>
      <c r="F160" s="1285"/>
    </row>
    <row r="161" spans="1:9" ht="15" customHeight="1" x14ac:dyDescent="0.2">
      <c r="A161" s="431"/>
      <c r="B161" s="431"/>
      <c r="C161" s="431"/>
      <c r="D161" s="431"/>
      <c r="E161" s="431"/>
      <c r="F161" s="431"/>
    </row>
    <row r="162" spans="1:9" ht="15" customHeight="1" x14ac:dyDescent="0.2">
      <c r="A162" s="451"/>
      <c r="B162" s="451"/>
      <c r="C162" s="451"/>
      <c r="D162" s="451"/>
      <c r="E162" s="451"/>
      <c r="F162" s="451"/>
    </row>
    <row r="163" spans="1:9" ht="15" customHeight="1" x14ac:dyDescent="0.2">
      <c r="A163" s="451"/>
      <c r="B163" s="451"/>
      <c r="C163" s="451"/>
      <c r="D163" s="451"/>
      <c r="E163" s="451"/>
      <c r="F163" s="451"/>
    </row>
    <row r="164" spans="1:9" ht="15" customHeight="1" thickBot="1" x14ac:dyDescent="0.25">
      <c r="A164" s="451"/>
      <c r="B164" s="451"/>
      <c r="C164" s="451"/>
      <c r="D164" s="479"/>
      <c r="E164" s="479"/>
      <c r="F164" s="479"/>
    </row>
    <row r="165" spans="1:9" ht="15" customHeight="1" thickBot="1" x14ac:dyDescent="0.25">
      <c r="A165" s="480" t="s">
        <v>462</v>
      </c>
      <c r="B165" s="1286" t="s">
        <v>425</v>
      </c>
      <c r="C165" s="1287"/>
      <c r="D165" s="1287"/>
      <c r="E165" s="474"/>
      <c r="F165" s="416"/>
    </row>
    <row r="166" spans="1:9" ht="15" customHeight="1" thickBot="1" x14ac:dyDescent="0.25">
      <c r="A166" s="481" t="s">
        <v>94</v>
      </c>
      <c r="B166" s="1286" t="s">
        <v>95</v>
      </c>
      <c r="C166" s="1287"/>
      <c r="D166" s="1287"/>
      <c r="E166" s="422"/>
      <c r="F166" s="422"/>
      <c r="G166" s="422"/>
      <c r="H166" s="422"/>
      <c r="I166" s="422"/>
    </row>
    <row r="167" spans="1:9" ht="15" customHeight="1" thickBot="1" x14ac:dyDescent="0.25">
      <c r="A167" s="482" t="s">
        <v>96</v>
      </c>
      <c r="B167" s="1286" t="s">
        <v>97</v>
      </c>
      <c r="C167" s="1287"/>
      <c r="D167" s="1287"/>
      <c r="E167" s="416"/>
      <c r="F167" s="416"/>
    </row>
    <row r="168" spans="1:9" ht="12" customHeight="1" x14ac:dyDescent="0.2">
      <c r="E168" s="416"/>
      <c r="F168" s="416"/>
    </row>
    <row r="169" spans="1:9" ht="20.100000000000001" customHeight="1" x14ac:dyDescent="0.2">
      <c r="A169" s="1284"/>
      <c r="B169" s="1284"/>
      <c r="C169" s="1284"/>
      <c r="D169" s="1284"/>
      <c r="F169" s="416"/>
    </row>
    <row r="170" spans="1:9" ht="12" customHeight="1" x14ac:dyDescent="0.2">
      <c r="D170" s="412"/>
      <c r="E170" s="412"/>
      <c r="F170" s="412"/>
    </row>
    <row r="171" spans="1:9" ht="15" customHeight="1" x14ac:dyDescent="0.2">
      <c r="A171" s="1298" t="s">
        <v>476</v>
      </c>
      <c r="B171" s="1298"/>
      <c r="C171" s="1298"/>
      <c r="D171" s="483"/>
      <c r="E171" s="483"/>
      <c r="F171" s="483"/>
    </row>
    <row r="172" spans="1:9" ht="15" customHeight="1" x14ac:dyDescent="0.2">
      <c r="A172" s="483"/>
      <c r="B172" s="483"/>
      <c r="C172" s="483"/>
      <c r="D172" s="483"/>
      <c r="E172" s="483"/>
      <c r="F172" s="483"/>
    </row>
    <row r="173" spans="1:9" ht="24.95" customHeight="1" x14ac:dyDescent="0.2">
      <c r="A173" s="1292" t="s">
        <v>426</v>
      </c>
      <c r="B173" s="1292"/>
      <c r="C173" s="1292"/>
      <c r="D173" s="1292"/>
      <c r="E173" s="1292"/>
      <c r="F173" s="1292"/>
    </row>
    <row r="174" spans="1:9" ht="24.95" customHeight="1" x14ac:dyDescent="0.2">
      <c r="A174" s="1292"/>
      <c r="B174" s="1292"/>
      <c r="C174" s="1292"/>
      <c r="D174" s="1292"/>
      <c r="E174" s="1292"/>
      <c r="F174" s="1292"/>
    </row>
    <row r="175" spans="1:9" ht="24.95" customHeight="1" x14ac:dyDescent="0.2">
      <c r="A175" s="1292"/>
      <c r="B175" s="1292"/>
      <c r="C175" s="1292"/>
      <c r="D175" s="1292"/>
      <c r="E175" s="1292"/>
      <c r="F175" s="1292"/>
    </row>
    <row r="176" spans="1:9" ht="24.95" customHeight="1" x14ac:dyDescent="0.2">
      <c r="A176" s="1292"/>
      <c r="B176" s="1292"/>
      <c r="C176" s="1292"/>
      <c r="D176" s="1292"/>
      <c r="E176" s="1292"/>
      <c r="F176" s="1292"/>
    </row>
    <row r="177" spans="1:6" ht="24.95" customHeight="1" x14ac:dyDescent="0.2">
      <c r="A177" s="1292"/>
      <c r="B177" s="1292"/>
      <c r="C177" s="1292"/>
      <c r="D177" s="1292"/>
      <c r="E177" s="1292"/>
      <c r="F177" s="1292"/>
    </row>
    <row r="178" spans="1:6" ht="24.95" customHeight="1" x14ac:dyDescent="0.2">
      <c r="A178" s="1292"/>
      <c r="B178" s="1292"/>
      <c r="C178" s="1292"/>
      <c r="D178" s="1292"/>
      <c r="E178" s="1292"/>
      <c r="F178" s="1292"/>
    </row>
    <row r="179" spans="1:6" ht="20.100000000000001" customHeight="1" x14ac:dyDescent="0.2">
      <c r="A179" s="1292"/>
      <c r="B179" s="1292"/>
      <c r="C179" s="1292"/>
      <c r="D179" s="1292"/>
      <c r="E179" s="1292"/>
      <c r="F179" s="1292"/>
    </row>
    <row r="180" spans="1:6" ht="15" customHeight="1" x14ac:dyDescent="0.2">
      <c r="A180" s="1292"/>
      <c r="B180" s="1292"/>
      <c r="C180" s="1292"/>
      <c r="D180" s="1292"/>
      <c r="E180" s="1292"/>
      <c r="F180" s="1292"/>
    </row>
    <row r="181" spans="1:6" ht="27" customHeight="1" x14ac:dyDescent="0.2">
      <c r="A181" s="1292"/>
      <c r="B181" s="1292"/>
      <c r="C181" s="1292"/>
      <c r="D181" s="1292"/>
      <c r="E181" s="1292"/>
      <c r="F181" s="1292"/>
    </row>
    <row r="182" spans="1:6" ht="15" customHeight="1" x14ac:dyDescent="0.2">
      <c r="A182" s="1292"/>
      <c r="B182" s="1292"/>
      <c r="C182" s="1292"/>
      <c r="D182" s="1292"/>
      <c r="E182" s="1292"/>
      <c r="F182" s="1292"/>
    </row>
    <row r="183" spans="1:6" ht="18" customHeight="1" x14ac:dyDescent="0.2">
      <c r="A183" s="1292"/>
      <c r="B183" s="1292"/>
      <c r="C183" s="1292"/>
      <c r="D183" s="1292"/>
      <c r="E183" s="1292"/>
      <c r="F183" s="1292"/>
    </row>
    <row r="184" spans="1:6" ht="15" customHeight="1" x14ac:dyDescent="0.2">
      <c r="A184" s="484"/>
      <c r="B184" s="484"/>
      <c r="C184" s="485"/>
      <c r="D184" s="412"/>
      <c r="E184" s="412"/>
      <c r="F184" s="412"/>
    </row>
    <row r="185" spans="1:6" ht="20.100000000000001" customHeight="1" x14ac:dyDescent="0.2">
      <c r="A185" s="1293" t="s">
        <v>435</v>
      </c>
      <c r="B185" s="1293"/>
      <c r="C185" s="1293"/>
    </row>
    <row r="186" spans="1:6" ht="15" customHeight="1" x14ac:dyDescent="0.2">
      <c r="B186" s="487"/>
      <c r="C186" s="486"/>
    </row>
    <row r="187" spans="1:6" ht="15" customHeight="1" x14ac:dyDescent="0.2">
      <c r="A187" s="409" t="s">
        <v>98</v>
      </c>
      <c r="B187" s="409"/>
      <c r="C187" s="488"/>
      <c r="D187" s="1294" t="s">
        <v>129</v>
      </c>
      <c r="E187" s="1294"/>
      <c r="F187" s="1294"/>
    </row>
    <row r="188" spans="1:6" ht="15" customHeight="1" x14ac:dyDescent="0.2">
      <c r="A188" s="1295" t="s">
        <v>131</v>
      </c>
      <c r="B188" s="1295"/>
      <c r="C188" s="1295"/>
      <c r="D188" s="1296" t="s">
        <v>433</v>
      </c>
      <c r="E188" s="1296"/>
      <c r="F188" s="488"/>
    </row>
    <row r="189" spans="1:6" ht="20.25" customHeight="1" x14ac:dyDescent="0.2">
      <c r="A189" s="1297" t="e">
        <f>VLOOKUP($C$187,'DATOS '!$A$113:$D$159,4,FALSE)</f>
        <v>#N/A</v>
      </c>
      <c r="B189" s="1297"/>
      <c r="C189" s="1297"/>
      <c r="D189" s="1297" t="e">
        <f>VLOOKUP($F$188,'DATOS '!A156:F159,6,FALSE)</f>
        <v>#N/A</v>
      </c>
      <c r="E189" s="1297"/>
      <c r="F189" s="1297"/>
    </row>
    <row r="190" spans="1:6" ht="15" customHeight="1" x14ac:dyDescent="0.2">
      <c r="A190" s="1297" t="e">
        <f>VLOOKUP($C$187,'DATOS '!$A$113:$H$168,2,FALSE)</f>
        <v>#N/A</v>
      </c>
      <c r="B190" s="1297"/>
      <c r="C190" s="1297"/>
      <c r="D190" s="1297" t="e">
        <f>VLOOKUP($F$188,'DATOS '!A156:F159,2,FALSE)</f>
        <v>#N/A</v>
      </c>
      <c r="E190" s="1297"/>
      <c r="F190" s="1297"/>
    </row>
    <row r="192" spans="1:6" s="489" customFormat="1" ht="9.9499999999999993" customHeight="1" x14ac:dyDescent="0.25">
      <c r="B192" s="1291" t="s">
        <v>132</v>
      </c>
      <c r="C192" s="1291"/>
      <c r="D192" s="1291"/>
      <c r="E192" s="1291"/>
    </row>
    <row r="193" spans="2:5" ht="15" customHeight="1" x14ac:dyDescent="0.2">
      <c r="B193" s="490"/>
      <c r="C193" s="490"/>
      <c r="D193" s="490"/>
      <c r="E193" s="490"/>
    </row>
  </sheetData>
  <sheetProtection algorithmName="SHA-512" hashValue="jIJoswyaf6yaWTN95jcO2DlRYFAD3SBk4SZZwDhHlwMt+MQlXU11umjl6xe8V7vJd7jYaYKkJ9OzxSZ+/ZMqxg==" saltValue="+/vdS6QxVnfNMG9OQVgApA==" spinCount="100000" sheet="1" objects="1" scenarios="1"/>
  <mergeCells count="78">
    <mergeCell ref="A7:B7"/>
    <mergeCell ref="C7:D7"/>
    <mergeCell ref="E7:F13"/>
    <mergeCell ref="A8:B8"/>
    <mergeCell ref="A9:B9"/>
    <mergeCell ref="C9:D9"/>
    <mergeCell ref="A10:B10"/>
    <mergeCell ref="C10:D10"/>
    <mergeCell ref="A11:B11"/>
    <mergeCell ref="C11:D11"/>
    <mergeCell ref="A12:B12"/>
    <mergeCell ref="D2:E2"/>
    <mergeCell ref="A3:C3"/>
    <mergeCell ref="A5:B5"/>
    <mergeCell ref="C5:F5"/>
    <mergeCell ref="A6:B6"/>
    <mergeCell ref="C6:D6"/>
    <mergeCell ref="A20:B20"/>
    <mergeCell ref="A26:C26"/>
    <mergeCell ref="A15:B15"/>
    <mergeCell ref="D15:E15"/>
    <mergeCell ref="A17:C17"/>
    <mergeCell ref="A19:B19"/>
    <mergeCell ref="A21:B21"/>
    <mergeCell ref="A22:B22"/>
    <mergeCell ref="A24:B24"/>
    <mergeCell ref="C24:E24"/>
    <mergeCell ref="A42:B42"/>
    <mergeCell ref="C42:D42"/>
    <mergeCell ref="A57:B57"/>
    <mergeCell ref="A54:F54"/>
    <mergeCell ref="A28:F28"/>
    <mergeCell ref="A32:F32"/>
    <mergeCell ref="A34:D34"/>
    <mergeCell ref="A36:F39"/>
    <mergeCell ref="A40:B40"/>
    <mergeCell ref="C40:F40"/>
    <mergeCell ref="A30:F30"/>
    <mergeCell ref="A52:F52"/>
    <mergeCell ref="A56:B56"/>
    <mergeCell ref="A41:F41"/>
    <mergeCell ref="A48:D48"/>
    <mergeCell ref="D45:E45"/>
    <mergeCell ref="A46:C46"/>
    <mergeCell ref="A113:C113"/>
    <mergeCell ref="A60:D60"/>
    <mergeCell ref="A64:C64"/>
    <mergeCell ref="A74:F76"/>
    <mergeCell ref="D79:E79"/>
    <mergeCell ref="A80:B80"/>
    <mergeCell ref="A82:D82"/>
    <mergeCell ref="A96:F99"/>
    <mergeCell ref="A101:D101"/>
    <mergeCell ref="A103:C103"/>
    <mergeCell ref="D112:E112"/>
    <mergeCell ref="A58:B58"/>
    <mergeCell ref="A62:C62"/>
    <mergeCell ref="B192:E192"/>
    <mergeCell ref="A173:F183"/>
    <mergeCell ref="A185:C185"/>
    <mergeCell ref="D187:F187"/>
    <mergeCell ref="A188:C188"/>
    <mergeCell ref="D188:E188"/>
    <mergeCell ref="A189:C189"/>
    <mergeCell ref="D189:F189"/>
    <mergeCell ref="A171:C171"/>
    <mergeCell ref="A140:F141"/>
    <mergeCell ref="A143:C143"/>
    <mergeCell ref="A144:E144"/>
    <mergeCell ref="A190:C190"/>
    <mergeCell ref="D190:F190"/>
    <mergeCell ref="A146:F148"/>
    <mergeCell ref="A169:D169"/>
    <mergeCell ref="A159:F160"/>
    <mergeCell ref="B165:D165"/>
    <mergeCell ref="B166:D166"/>
    <mergeCell ref="B167:D167"/>
    <mergeCell ref="D157:E157"/>
  </mergeCells>
  <pageMargins left="0.70866141732283472" right="0.70866141732283472" top="0.74803149606299213" bottom="0.74803149606299213" header="0.31496062992125984" footer="0.31496062992125984"/>
  <pageSetup scale="80" orientation="portrait" horizontalDpi="4294967293" r:id="rId1"/>
  <headerFooter>
    <oddHeader xml:space="preserve">&amp;C 
&amp;"Arial Narrow,Negrita"&amp;14 CERTIFICADO DE CALIBRACIÓN 
DE  BALANZAS&amp;R&amp;"-,Negrita"&amp;12
             </oddHeader>
    <oddFooter>&amp;R&amp;8
  RT03-F15  Vr.5(2019-04-03)
&amp;P de &amp;[Páginas</oddFooter>
  </headerFooter>
  <rowBreaks count="4" manualBreakCount="4">
    <brk id="43" max="16383" man="1"/>
    <brk id="77" max="16383" man="1"/>
    <brk id="110" max="16383" man="1"/>
    <brk id="154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'DATOS '!$A$156:$A$158</xm:f>
          </x14:formula1>
          <xm:sqref>C187</xm:sqref>
        </x14:dataValidation>
        <x14:dataValidation type="list" allowBlank="1" showInputMessage="1" showErrorMessage="1">
          <x14:formula1>
            <xm:f>'DATOS '!$A$156:$A$159</xm:f>
          </x14:formula1>
          <xm:sqref>F188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83"/>
  <sheetViews>
    <sheetView showGridLines="0" tabSelected="1" showRuler="0" showWhiteSpace="0" view="pageBreakPreview" zoomScale="110" zoomScaleNormal="110" zoomScaleSheetLayoutView="110" zoomScalePageLayoutView="85" workbookViewId="0">
      <selection activeCell="I11" sqref="I11"/>
    </sheetView>
  </sheetViews>
  <sheetFormatPr baseColWidth="10" defaultRowHeight="15" customHeight="1" x14ac:dyDescent="0.2"/>
  <cols>
    <col min="1" max="1" width="14.7109375" style="95" customWidth="1"/>
    <col min="2" max="2" width="14.5703125" style="95" customWidth="1"/>
    <col min="3" max="3" width="14.7109375" style="95" customWidth="1"/>
    <col min="4" max="4" width="15.85546875" style="95" customWidth="1"/>
    <col min="5" max="5" width="17" style="95" customWidth="1"/>
    <col min="6" max="6" width="16.28515625" style="95" customWidth="1"/>
    <col min="7" max="16384" width="11.42578125" style="95"/>
  </cols>
  <sheetData>
    <row r="1" spans="1:6" ht="65.099999999999994" customHeight="1" x14ac:dyDescent="0.2">
      <c r="A1" s="409"/>
      <c r="B1" s="409"/>
      <c r="C1" s="410"/>
      <c r="D1" s="410"/>
      <c r="E1" s="410"/>
      <c r="F1" s="410"/>
    </row>
    <row r="2" spans="1:6" ht="12" customHeight="1" x14ac:dyDescent="0.2">
      <c r="A2" s="98"/>
      <c r="B2" s="98"/>
      <c r="D2" s="1334" t="s">
        <v>428</v>
      </c>
      <c r="E2" s="1334"/>
      <c r="F2" s="788" t="e">
        <f>'RT03-F12'!I6</f>
        <v>#N/A</v>
      </c>
    </row>
    <row r="3" spans="1:6" ht="20.100000000000001" customHeight="1" x14ac:dyDescent="0.2">
      <c r="A3" s="1317" t="s">
        <v>76</v>
      </c>
      <c r="B3" s="1317"/>
      <c r="C3" s="1317"/>
    </row>
    <row r="4" spans="1:6" ht="12" customHeight="1" x14ac:dyDescent="0.2">
      <c r="A4" s="411"/>
      <c r="B4" s="412"/>
      <c r="C4" s="412"/>
      <c r="D4" s="412"/>
      <c r="E4" s="412"/>
      <c r="F4" s="412"/>
    </row>
    <row r="5" spans="1:6" ht="15" customHeight="1" x14ac:dyDescent="0.2">
      <c r="A5" s="1287" t="s">
        <v>411</v>
      </c>
      <c r="B5" s="1287"/>
      <c r="C5" s="1327" t="e">
        <f>'RT03-F12'!G6</f>
        <v>#N/A</v>
      </c>
      <c r="D5" s="1287"/>
      <c r="E5" s="1287"/>
      <c r="F5" s="1287"/>
    </row>
    <row r="6" spans="1:6" ht="15" customHeight="1" thickBot="1" x14ac:dyDescent="0.25">
      <c r="A6" s="1287" t="s">
        <v>77</v>
      </c>
      <c r="B6" s="1287"/>
      <c r="C6" s="1327" t="e">
        <f>'RT03-F12'!H6</f>
        <v>#N/A</v>
      </c>
      <c r="D6" s="1327"/>
      <c r="E6" s="413"/>
      <c r="F6" s="413"/>
    </row>
    <row r="7" spans="1:6" ht="15" customHeight="1" x14ac:dyDescent="0.2">
      <c r="A7" s="1287" t="s">
        <v>78</v>
      </c>
      <c r="B7" s="1287"/>
      <c r="C7" s="1327" t="e">
        <f>'RT03-F12'!B6</f>
        <v>#N/A</v>
      </c>
      <c r="D7" s="1287"/>
      <c r="E7" s="1341" t="s">
        <v>429</v>
      </c>
      <c r="F7" s="1342"/>
    </row>
    <row r="8" spans="1:6" ht="12" customHeight="1" x14ac:dyDescent="0.2">
      <c r="A8" s="1287"/>
      <c r="B8" s="1287"/>
      <c r="C8" s="414"/>
      <c r="D8" s="412"/>
      <c r="E8" s="1343"/>
      <c r="F8" s="1344"/>
    </row>
    <row r="9" spans="1:6" ht="15" customHeight="1" x14ac:dyDescent="0.2">
      <c r="A9" s="1287" t="s">
        <v>122</v>
      </c>
      <c r="B9" s="1287"/>
      <c r="C9" s="1313" t="s">
        <v>415</v>
      </c>
      <c r="D9" s="1313"/>
      <c r="E9" s="1343"/>
      <c r="F9" s="1344"/>
    </row>
    <row r="10" spans="1:6" ht="15" customHeight="1" x14ac:dyDescent="0.2">
      <c r="A10" s="1287" t="s">
        <v>80</v>
      </c>
      <c r="B10" s="1287"/>
      <c r="C10" s="1327">
        <f>'DATOS '!D17</f>
        <v>0</v>
      </c>
      <c r="D10" s="1287"/>
      <c r="E10" s="1343"/>
      <c r="F10" s="1344"/>
    </row>
    <row r="11" spans="1:6" ht="15" customHeight="1" x14ac:dyDescent="0.2">
      <c r="A11" s="1287" t="s">
        <v>9</v>
      </c>
      <c r="B11" s="1287"/>
      <c r="C11" s="1287">
        <f>'DATOS '!E17</f>
        <v>0</v>
      </c>
      <c r="D11" s="1287"/>
      <c r="E11" s="1343"/>
      <c r="F11" s="1344"/>
    </row>
    <row r="12" spans="1:6" ht="15" customHeight="1" x14ac:dyDescent="0.2">
      <c r="A12" s="1287" t="s">
        <v>81</v>
      </c>
      <c r="B12" s="1287"/>
      <c r="C12" s="415">
        <f>'DATOS '!F17</f>
        <v>0</v>
      </c>
      <c r="D12" s="412"/>
      <c r="E12" s="1343"/>
      <c r="F12" s="1344"/>
    </row>
    <row r="13" spans="1:6" ht="20.100000000000001" customHeight="1" thickBot="1" x14ac:dyDescent="0.25">
      <c r="A13" s="416"/>
      <c r="B13" s="416"/>
      <c r="C13" s="416"/>
      <c r="D13" s="412"/>
      <c r="E13" s="1345"/>
      <c r="F13" s="1346"/>
    </row>
    <row r="14" spans="1:6" ht="15" customHeight="1" x14ac:dyDescent="0.2">
      <c r="A14" s="417"/>
      <c r="B14" s="417"/>
      <c r="C14" s="417"/>
      <c r="D14" s="412"/>
      <c r="E14" s="418"/>
      <c r="F14" s="418"/>
    </row>
    <row r="15" spans="1:6" ht="12" customHeight="1" x14ac:dyDescent="0.2">
      <c r="A15" s="1287" t="s">
        <v>79</v>
      </c>
      <c r="B15" s="1287"/>
      <c r="C15" s="419" t="e">
        <f>'RT03-F12'!C6</f>
        <v>#N/A</v>
      </c>
      <c r="D15" s="1326" t="s">
        <v>82</v>
      </c>
      <c r="E15" s="1326"/>
      <c r="F15" s="419" t="e">
        <f>'RT03-F12'!F6</f>
        <v>#N/A</v>
      </c>
    </row>
    <row r="16" spans="1:6" ht="15" customHeight="1" x14ac:dyDescent="0.2">
      <c r="A16" s="417"/>
      <c r="B16" s="417"/>
      <c r="C16" s="420"/>
      <c r="D16" s="417"/>
      <c r="E16" s="417"/>
      <c r="F16" s="420"/>
    </row>
    <row r="17" spans="1:6" ht="20.100000000000001" customHeight="1" x14ac:dyDescent="0.2">
      <c r="A17" s="1317" t="s">
        <v>121</v>
      </c>
      <c r="B17" s="1317"/>
      <c r="C17" s="1317"/>
      <c r="D17" s="412"/>
      <c r="E17" s="412"/>
      <c r="F17" s="412"/>
    </row>
    <row r="18" spans="1:6" ht="12" customHeight="1" x14ac:dyDescent="0.2">
      <c r="A18" s="421"/>
      <c r="B18" s="421"/>
      <c r="C18" s="421"/>
      <c r="D18" s="412"/>
      <c r="E18" s="412"/>
      <c r="F18" s="412"/>
    </row>
    <row r="19" spans="1:6" ht="15" customHeight="1" x14ac:dyDescent="0.2">
      <c r="A19" s="1287" t="s">
        <v>117</v>
      </c>
      <c r="B19" s="1287"/>
      <c r="C19" s="422" t="e">
        <f>'RT03-F12'!D12</f>
        <v>#N/A</v>
      </c>
      <c r="D19" s="416" t="s">
        <v>88</v>
      </c>
      <c r="E19" s="416"/>
      <c r="F19" s="416"/>
    </row>
    <row r="20" spans="1:6" ht="15" customHeight="1" x14ac:dyDescent="0.2">
      <c r="A20" s="1287" t="s">
        <v>118</v>
      </c>
      <c r="B20" s="1287"/>
      <c r="C20" s="422" t="e">
        <f>'RT03-F12'!D13</f>
        <v>#N/A</v>
      </c>
      <c r="D20" s="416" t="s">
        <v>88</v>
      </c>
      <c r="E20" s="416"/>
      <c r="F20" s="416"/>
    </row>
    <row r="21" spans="1:6" ht="15" customHeight="1" x14ac:dyDescent="0.2">
      <c r="A21" s="1287" t="s">
        <v>119</v>
      </c>
      <c r="B21" s="1287"/>
      <c r="C21" s="423" t="e">
        <f>'RT03-F12'!D14</f>
        <v>#N/A</v>
      </c>
      <c r="D21" s="416" t="s">
        <v>88</v>
      </c>
      <c r="E21" s="416"/>
      <c r="F21" s="416"/>
    </row>
    <row r="22" spans="1:6" ht="15" customHeight="1" x14ac:dyDescent="0.2">
      <c r="A22" s="1287" t="s">
        <v>120</v>
      </c>
      <c r="B22" s="1287"/>
      <c r="C22" s="422" t="e">
        <f>'RT03-F12'!D15</f>
        <v>#N/A</v>
      </c>
      <c r="D22" s="416" t="s">
        <v>88</v>
      </c>
      <c r="E22" s="416"/>
      <c r="F22" s="416"/>
    </row>
    <row r="24" spans="1:6" ht="20.100000000000001" customHeight="1" x14ac:dyDescent="0.2">
      <c r="A24" s="1325" t="s">
        <v>388</v>
      </c>
      <c r="B24" s="1325"/>
      <c r="C24" s="1321" t="e">
        <f>'RT03-F12'!D6</f>
        <v>#N/A</v>
      </c>
      <c r="D24" s="1321"/>
      <c r="E24" s="1321"/>
      <c r="F24" s="412"/>
    </row>
    <row r="25" spans="1:6" ht="12" customHeight="1" x14ac:dyDescent="0.2">
      <c r="A25" s="416"/>
      <c r="B25" s="416"/>
      <c r="C25" s="416"/>
    </row>
    <row r="26" spans="1:6" ht="21.75" customHeight="1" x14ac:dyDescent="0.2">
      <c r="A26" s="799" t="s">
        <v>460</v>
      </c>
      <c r="B26" s="799"/>
      <c r="C26" s="799"/>
    </row>
    <row r="27" spans="1:6" ht="21.75" customHeight="1" x14ac:dyDescent="0.2">
      <c r="A27" s="1339" t="s">
        <v>436</v>
      </c>
      <c r="B27" s="1339"/>
      <c r="C27" s="1339"/>
      <c r="D27" s="1339"/>
      <c r="E27" s="1339"/>
      <c r="F27" s="1339"/>
    </row>
    <row r="28" spans="1:6" ht="12" customHeight="1" x14ac:dyDescent="0.2"/>
    <row r="29" spans="1:6" ht="20.100000000000001" customHeight="1" x14ac:dyDescent="0.2">
      <c r="A29" s="1317" t="s">
        <v>123</v>
      </c>
      <c r="B29" s="1317"/>
      <c r="C29" s="1317"/>
      <c r="D29" s="1317"/>
      <c r="E29" s="412"/>
      <c r="F29" s="412"/>
    </row>
    <row r="30" spans="1:6" ht="12" customHeight="1" x14ac:dyDescent="0.2">
      <c r="A30" s="424"/>
      <c r="B30" s="424"/>
      <c r="C30" s="424"/>
      <c r="D30" s="425"/>
      <c r="E30" s="412"/>
      <c r="F30" s="412"/>
    </row>
    <row r="31" spans="1:6" ht="15" customHeight="1" x14ac:dyDescent="0.2">
      <c r="A31" s="1313" t="s">
        <v>83</v>
      </c>
      <c r="B31" s="1313"/>
      <c r="C31" s="1313"/>
      <c r="D31" s="1313"/>
      <c r="E31" s="1313"/>
      <c r="F31" s="1313"/>
    </row>
    <row r="32" spans="1:6" ht="12" customHeight="1" x14ac:dyDescent="0.2">
      <c r="A32" s="416"/>
      <c r="B32" s="416"/>
      <c r="C32" s="416"/>
      <c r="D32" s="416"/>
      <c r="E32" s="416"/>
      <c r="F32" s="416"/>
    </row>
    <row r="33" spans="1:6" ht="20.100000000000001" customHeight="1" x14ac:dyDescent="0.2">
      <c r="A33" s="1284" t="s">
        <v>124</v>
      </c>
      <c r="B33" s="1284"/>
      <c r="C33" s="1284"/>
      <c r="D33" s="1284"/>
      <c r="E33" s="416"/>
      <c r="F33" s="416"/>
    </row>
    <row r="34" spans="1:6" ht="12" customHeight="1" x14ac:dyDescent="0.2">
      <c r="A34" s="426"/>
      <c r="B34" s="426"/>
      <c r="C34" s="426"/>
      <c r="D34" s="426"/>
      <c r="E34" s="416"/>
      <c r="F34" s="416"/>
    </row>
    <row r="35" spans="1:6" ht="12.95" customHeight="1" x14ac:dyDescent="0.2">
      <c r="A35" s="1314" t="s">
        <v>427</v>
      </c>
      <c r="B35" s="1314"/>
      <c r="C35" s="1314"/>
      <c r="D35" s="1314"/>
      <c r="E35" s="1314"/>
      <c r="F35" s="1314"/>
    </row>
    <row r="36" spans="1:6" ht="12.95" customHeight="1" x14ac:dyDescent="0.2">
      <c r="A36" s="1314"/>
      <c r="B36" s="1314"/>
      <c r="C36" s="1314"/>
      <c r="D36" s="1314"/>
      <c r="E36" s="1314"/>
      <c r="F36" s="1314"/>
    </row>
    <row r="37" spans="1:6" ht="12.95" customHeight="1" x14ac:dyDescent="0.2">
      <c r="A37" s="1314"/>
      <c r="B37" s="1314"/>
      <c r="C37" s="1314"/>
      <c r="D37" s="1314"/>
      <c r="E37" s="1314"/>
      <c r="F37" s="1314"/>
    </row>
    <row r="38" spans="1:6" ht="21.75" customHeight="1" x14ac:dyDescent="0.2">
      <c r="A38" s="1314"/>
      <c r="B38" s="1314"/>
      <c r="C38" s="1314"/>
      <c r="D38" s="1314"/>
      <c r="E38" s="1314"/>
      <c r="F38" s="1314"/>
    </row>
    <row r="39" spans="1:6" ht="15" customHeight="1" x14ac:dyDescent="0.2">
      <c r="A39" s="1315"/>
      <c r="B39" s="1315"/>
      <c r="C39" s="1316"/>
      <c r="D39" s="1316"/>
      <c r="E39" s="1316"/>
      <c r="F39" s="1316"/>
    </row>
    <row r="40" spans="1:6" ht="22.5" customHeight="1" x14ac:dyDescent="0.2">
      <c r="A40" s="1338" t="s">
        <v>430</v>
      </c>
      <c r="B40" s="1338"/>
      <c r="C40" s="1338"/>
      <c r="D40" s="1338"/>
      <c r="E40" s="1338"/>
      <c r="F40" s="1338"/>
    </row>
    <row r="41" spans="1:6" ht="27" customHeight="1" x14ac:dyDescent="0.2">
      <c r="A41" s="1322" t="e">
        <f>C7</f>
        <v>#N/A</v>
      </c>
      <c r="B41" s="1323"/>
      <c r="C41" s="1322" t="e">
        <f>C6</f>
        <v>#N/A</v>
      </c>
      <c r="D41" s="1323"/>
      <c r="E41" s="411"/>
      <c r="F41" s="427"/>
    </row>
    <row r="42" spans="1:6" ht="15" customHeight="1" x14ac:dyDescent="0.2">
      <c r="A42" s="428"/>
      <c r="B42" s="429"/>
      <c r="C42" s="425"/>
      <c r="D42" s="412"/>
      <c r="E42" s="412"/>
      <c r="F42" s="412"/>
    </row>
    <row r="43" spans="1:6" ht="65.099999999999994" customHeight="1" x14ac:dyDescent="0.2">
      <c r="A43" s="428"/>
      <c r="B43" s="429"/>
      <c r="C43" s="425"/>
      <c r="D43" s="726"/>
      <c r="E43" s="726"/>
      <c r="F43" s="726"/>
    </row>
    <row r="44" spans="1:6" ht="15" customHeight="1" x14ac:dyDescent="0.2">
      <c r="A44" s="428"/>
      <c r="B44" s="429"/>
      <c r="C44" s="430"/>
      <c r="D44" s="1334" t="s">
        <v>428</v>
      </c>
      <c r="E44" s="1334" t="s">
        <v>2</v>
      </c>
      <c r="F44" s="789" t="e">
        <f>F2</f>
        <v>#N/A</v>
      </c>
    </row>
    <row r="45" spans="1:6" ht="20.100000000000001" customHeight="1" x14ac:dyDescent="0.2">
      <c r="A45" s="1284" t="s">
        <v>128</v>
      </c>
      <c r="B45" s="1284"/>
      <c r="C45" s="1284"/>
      <c r="D45" s="798" t="s">
        <v>423</v>
      </c>
      <c r="E45" s="431"/>
      <c r="F45" s="412"/>
    </row>
    <row r="46" spans="1:6" ht="15" customHeight="1" x14ac:dyDescent="0.2">
      <c r="C46" s="412"/>
      <c r="D46" s="412"/>
      <c r="E46" s="412"/>
      <c r="F46" s="412"/>
    </row>
    <row r="47" spans="1:6" ht="20.100000000000001" customHeight="1" x14ac:dyDescent="0.2">
      <c r="A47" s="1317" t="s">
        <v>333</v>
      </c>
      <c r="B47" s="1317"/>
      <c r="C47" s="1317"/>
      <c r="D47" s="1317"/>
      <c r="E47" s="412"/>
      <c r="F47" s="412"/>
    </row>
    <row r="48" spans="1:6" ht="15" customHeight="1" thickBot="1" x14ac:dyDescent="0.25">
      <c r="A48" s="432"/>
      <c r="B48" s="432"/>
      <c r="C48" s="432"/>
      <c r="D48" s="412"/>
      <c r="E48" s="412"/>
      <c r="F48" s="412"/>
    </row>
    <row r="49" spans="1:6" ht="33" customHeight="1" thickBot="1" x14ac:dyDescent="0.25">
      <c r="A49" s="433" t="s">
        <v>84</v>
      </c>
      <c r="B49" s="434" t="s">
        <v>85</v>
      </c>
      <c r="C49" s="434" t="s">
        <v>86</v>
      </c>
      <c r="D49" s="412"/>
      <c r="E49" s="412"/>
      <c r="F49" s="412"/>
    </row>
    <row r="50" spans="1:6" ht="20.100000000000001" customHeight="1" thickBot="1" x14ac:dyDescent="0.25">
      <c r="A50" s="435" t="e">
        <f>'RT03-F12'!E65</f>
        <v>#N/A</v>
      </c>
      <c r="B50" s="436" t="e">
        <f>'RT03-F12'!G65</f>
        <v>#N/A</v>
      </c>
      <c r="C50" s="436" t="e">
        <f>'RT03-F12'!I65</f>
        <v>#N/A</v>
      </c>
      <c r="D50" s="412"/>
      <c r="E50" s="412"/>
      <c r="F50" s="412"/>
    </row>
    <row r="51" spans="1:6" ht="15" customHeight="1" x14ac:dyDescent="0.2">
      <c r="A51" s="1318" t="s">
        <v>461</v>
      </c>
      <c r="B51" s="1318"/>
      <c r="C51" s="1318"/>
      <c r="D51" s="1318"/>
      <c r="E51" s="1318"/>
      <c r="F51" s="1318"/>
    </row>
    <row r="52" spans="1:6" ht="26.25" customHeight="1" x14ac:dyDescent="0.2">
      <c r="A52" s="432"/>
      <c r="B52" s="432"/>
      <c r="C52" s="432"/>
      <c r="D52" s="412"/>
      <c r="E52" s="412"/>
      <c r="F52" s="412"/>
    </row>
    <row r="53" spans="1:6" ht="20.100000000000001" customHeight="1" x14ac:dyDescent="0.2">
      <c r="A53" s="1284" t="s">
        <v>125</v>
      </c>
      <c r="B53" s="1284"/>
      <c r="C53" s="1284"/>
      <c r="D53" s="1284"/>
      <c r="E53" s="1284"/>
      <c r="F53" s="1284"/>
    </row>
    <row r="54" spans="1:6" ht="12" customHeight="1" thickBot="1" x14ac:dyDescent="0.25">
      <c r="A54" s="437"/>
      <c r="B54" s="437"/>
      <c r="C54" s="437"/>
      <c r="D54" s="437"/>
      <c r="E54" s="432"/>
      <c r="F54" s="432"/>
    </row>
    <row r="55" spans="1:6" ht="15" customHeight="1" thickBot="1" x14ac:dyDescent="0.25">
      <c r="A55" s="1319" t="s">
        <v>134</v>
      </c>
      <c r="B55" s="1320"/>
      <c r="C55" s="712" t="e">
        <f>'RT03-F12'!I12</f>
        <v>#N/A</v>
      </c>
      <c r="D55" s="412"/>
      <c r="E55" s="412"/>
      <c r="F55" s="412"/>
    </row>
    <row r="56" spans="1:6" ht="15" customHeight="1" thickBot="1" x14ac:dyDescent="0.25">
      <c r="A56" s="1311" t="s">
        <v>87</v>
      </c>
      <c r="B56" s="1312"/>
      <c r="C56" s="713" t="e">
        <f>'RT03-F12'!I13</f>
        <v>#N/A</v>
      </c>
      <c r="D56" s="412"/>
      <c r="E56" s="412"/>
      <c r="F56" s="412"/>
    </row>
    <row r="57" spans="1:6" ht="15" customHeight="1" thickBot="1" x14ac:dyDescent="0.25">
      <c r="A57" s="1289" t="s">
        <v>133</v>
      </c>
      <c r="B57" s="1290"/>
      <c r="C57" s="714" t="e">
        <f>'RT03-F12'!I14</f>
        <v>#N/A</v>
      </c>
      <c r="D57" s="412"/>
      <c r="E57" s="412"/>
      <c r="F57" s="412"/>
    </row>
    <row r="58" spans="1:6" ht="15" customHeight="1" x14ac:dyDescent="0.2">
      <c r="A58" s="416"/>
      <c r="B58" s="438"/>
      <c r="C58" s="412"/>
      <c r="D58" s="412"/>
      <c r="E58" s="412"/>
      <c r="F58" s="412"/>
    </row>
    <row r="59" spans="1:6" ht="20.100000000000001" customHeight="1" x14ac:dyDescent="0.2">
      <c r="A59" s="1284" t="s">
        <v>126</v>
      </c>
      <c r="B59" s="1284"/>
      <c r="C59" s="1284"/>
      <c r="D59" s="1284"/>
      <c r="E59" s="432"/>
      <c r="F59" s="432"/>
    </row>
    <row r="60" spans="1:6" ht="12" customHeight="1" x14ac:dyDescent="0.2">
      <c r="A60" s="432"/>
      <c r="B60" s="432"/>
      <c r="C60" s="432"/>
      <c r="D60" s="432"/>
      <c r="E60" s="432"/>
      <c r="F60" s="432"/>
    </row>
    <row r="61" spans="1:6" ht="15" customHeight="1" x14ac:dyDescent="0.2">
      <c r="A61" s="1284" t="s">
        <v>90</v>
      </c>
      <c r="B61" s="1284"/>
      <c r="D61" s="432"/>
      <c r="E61" s="432"/>
      <c r="F61" s="432"/>
    </row>
    <row r="62" spans="1:6" ht="15" customHeight="1" thickBot="1" x14ac:dyDescent="0.25">
      <c r="A62" s="432"/>
      <c r="B62" s="432"/>
      <c r="C62" s="432"/>
      <c r="D62" s="412"/>
      <c r="E62" s="412"/>
      <c r="F62" s="412"/>
    </row>
    <row r="63" spans="1:6" ht="15" customHeight="1" thickBot="1" x14ac:dyDescent="0.25">
      <c r="A63" s="1303" t="s">
        <v>420</v>
      </c>
      <c r="B63" s="1304"/>
      <c r="C63" s="1305"/>
      <c r="D63" s="432"/>
      <c r="E63" s="432"/>
      <c r="F63" s="432"/>
    </row>
    <row r="64" spans="1:6" ht="15" customHeight="1" thickBot="1" x14ac:dyDescent="0.25">
      <c r="A64" s="439" t="str">
        <f>'RT03-F12'!C34</f>
        <v>Carga</v>
      </c>
      <c r="B64" s="440">
        <f>'RT03-F12'!E34</f>
        <v>0</v>
      </c>
      <c r="C64" s="441" t="str">
        <f>'RT03-F12'!D34</f>
        <v>(g)</v>
      </c>
      <c r="D64" s="432"/>
      <c r="E64" s="442" t="s">
        <v>89</v>
      </c>
      <c r="F64" s="432"/>
    </row>
    <row r="65" spans="1:6" ht="15" customHeight="1" thickBot="1" x14ac:dyDescent="0.25">
      <c r="A65" s="439" t="str">
        <f>'RT03-F12'!B35</f>
        <v>Posición</v>
      </c>
      <c r="B65" s="441" t="str">
        <f>'RT03-F12'!B36</f>
        <v>Indicación (g)</v>
      </c>
      <c r="C65" s="443" t="s">
        <v>147</v>
      </c>
      <c r="D65" s="432"/>
      <c r="E65" s="432"/>
      <c r="F65" s="432"/>
    </row>
    <row r="66" spans="1:6" ht="20.100000000000001" customHeight="1" x14ac:dyDescent="0.2">
      <c r="A66" s="444">
        <f>'RT03-F12'!C35</f>
        <v>1</v>
      </c>
      <c r="B66" s="445">
        <f>'RT03-F12'!C36</f>
        <v>0</v>
      </c>
      <c r="C66" s="446">
        <f>'RT03-F12'!C37</f>
        <v>0</v>
      </c>
      <c r="D66" s="432"/>
      <c r="F66" s="432"/>
    </row>
    <row r="67" spans="1:6" ht="20.100000000000001" customHeight="1" x14ac:dyDescent="0.2">
      <c r="A67" s="444">
        <f>'RT03-F12'!D35</f>
        <v>2</v>
      </c>
      <c r="B67" s="236">
        <f>'RT03-F12'!D36</f>
        <v>0</v>
      </c>
      <c r="C67" s="236">
        <f>'RT03-F12'!D37</f>
        <v>0</v>
      </c>
      <c r="D67" s="432"/>
      <c r="E67" s="432"/>
      <c r="F67" s="432"/>
    </row>
    <row r="68" spans="1:6" ht="20.100000000000001" customHeight="1" x14ac:dyDescent="0.2">
      <c r="A68" s="447">
        <f>'RT03-F12'!E35</f>
        <v>3</v>
      </c>
      <c r="B68" s="236">
        <f>'RT03-F12'!E36</f>
        <v>0</v>
      </c>
      <c r="C68" s="236">
        <f>'RT03-F12'!E37</f>
        <v>0</v>
      </c>
      <c r="D68" s="432"/>
      <c r="E68" s="432"/>
      <c r="F68" s="432"/>
    </row>
    <row r="69" spans="1:6" ht="20.100000000000001" customHeight="1" x14ac:dyDescent="0.2">
      <c r="A69" s="447">
        <f>'RT03-F12'!F35</f>
        <v>4</v>
      </c>
      <c r="B69" s="236">
        <f>'RT03-F12'!F36</f>
        <v>0</v>
      </c>
      <c r="C69" s="236">
        <f>'RT03-F12'!F37</f>
        <v>0</v>
      </c>
      <c r="D69" s="432"/>
      <c r="E69" s="432"/>
      <c r="F69" s="432"/>
    </row>
    <row r="70" spans="1:6" ht="20.100000000000001" customHeight="1" x14ac:dyDescent="0.2">
      <c r="A70" s="447">
        <f>'RT03-F12'!G35</f>
        <v>5</v>
      </c>
      <c r="B70" s="236">
        <f>'RT03-F12'!G36</f>
        <v>5000.1000000000004</v>
      </c>
      <c r="C70" s="236">
        <f>'RT03-F12'!G37</f>
        <v>-5000.1000000000004</v>
      </c>
      <c r="D70" s="432"/>
      <c r="E70" s="432"/>
      <c r="F70" s="432"/>
    </row>
    <row r="71" spans="1:6" ht="20.100000000000001" customHeight="1" x14ac:dyDescent="0.2">
      <c r="A71" s="448" t="str">
        <f>'[4]PRUEBAS DE CALIBRACION'!F18</f>
        <v>DIF MAX EXC</v>
      </c>
      <c r="B71" s="236">
        <f>'RT03-F12'!C39</f>
        <v>5000100</v>
      </c>
      <c r="C71" s="449" t="s">
        <v>127</v>
      </c>
      <c r="D71" s="432"/>
      <c r="E71" s="432"/>
      <c r="F71" s="432"/>
    </row>
    <row r="72" spans="1:6" ht="15" customHeight="1" x14ac:dyDescent="0.2">
      <c r="A72" s="425"/>
      <c r="B72" s="450"/>
      <c r="C72" s="429"/>
      <c r="D72" s="432"/>
      <c r="E72" s="432"/>
      <c r="F72" s="432"/>
    </row>
    <row r="73" spans="1:6" ht="15" customHeight="1" x14ac:dyDescent="0.2">
      <c r="A73" s="1306" t="s">
        <v>431</v>
      </c>
      <c r="B73" s="1306"/>
      <c r="C73" s="1306"/>
      <c r="D73" s="1306"/>
      <c r="E73" s="1306"/>
      <c r="F73" s="1306"/>
    </row>
    <row r="74" spans="1:6" ht="15" customHeight="1" x14ac:dyDescent="0.2">
      <c r="A74" s="1306"/>
      <c r="B74" s="1306"/>
      <c r="C74" s="1306"/>
      <c r="D74" s="1306"/>
      <c r="E74" s="1306"/>
      <c r="F74" s="1306"/>
    </row>
    <row r="75" spans="1:6" ht="15" customHeight="1" x14ac:dyDescent="0.2">
      <c r="A75" s="1306"/>
      <c r="B75" s="1306"/>
      <c r="C75" s="1306"/>
      <c r="D75" s="1306"/>
      <c r="E75" s="1306"/>
      <c r="F75" s="1306"/>
    </row>
    <row r="76" spans="1:6" ht="15" customHeight="1" x14ac:dyDescent="0.2">
      <c r="A76" s="451"/>
      <c r="B76" s="451"/>
      <c r="C76" s="451"/>
      <c r="D76" s="451"/>
      <c r="E76" s="451"/>
      <c r="F76" s="451"/>
    </row>
    <row r="77" spans="1:6" ht="65.099999999999994" customHeight="1" x14ac:dyDescent="0.2">
      <c r="A77" s="451"/>
      <c r="B77" s="451"/>
      <c r="C77" s="451"/>
      <c r="D77" s="451"/>
      <c r="E77" s="451"/>
      <c r="F77" s="451"/>
    </row>
    <row r="78" spans="1:6" ht="15" customHeight="1" x14ac:dyDescent="0.2">
      <c r="D78" s="1335" t="s">
        <v>428</v>
      </c>
      <c r="E78" s="1335"/>
      <c r="F78" s="786" t="e">
        <f>F2</f>
        <v>#N/A</v>
      </c>
    </row>
    <row r="79" spans="1:6" ht="15" customHeight="1" x14ac:dyDescent="0.2">
      <c r="A79" s="1284" t="s">
        <v>92</v>
      </c>
      <c r="B79" s="1284"/>
      <c r="E79" s="425"/>
      <c r="F79" s="425"/>
    </row>
    <row r="80" spans="1:6" ht="15" customHeight="1" thickBot="1" x14ac:dyDescent="0.25">
      <c r="E80" s="425"/>
    </row>
    <row r="81" spans="1:6" ht="15" customHeight="1" thickBot="1" x14ac:dyDescent="0.25">
      <c r="A81" s="1307" t="s">
        <v>421</v>
      </c>
      <c r="B81" s="1308"/>
      <c r="C81" s="1308"/>
      <c r="D81" s="1309"/>
      <c r="E81" s="425"/>
      <c r="F81" s="425"/>
    </row>
    <row r="82" spans="1:6" ht="20.100000000000001" customHeight="1" thickBot="1" x14ac:dyDescent="0.25">
      <c r="A82" s="452" t="str">
        <f>'RT03-F12'!A43</f>
        <v>Cargas (g)</v>
      </c>
      <c r="B82" s="453">
        <f>'RT03-F12'!A44</f>
        <v>0</v>
      </c>
      <c r="C82" s="453">
        <f>'RT03-F12'!A45</f>
        <v>0</v>
      </c>
      <c r="D82" s="453">
        <f>'RT03-F12'!A46</f>
        <v>0</v>
      </c>
      <c r="E82" s="425"/>
      <c r="F82" s="425"/>
    </row>
    <row r="83" spans="1:6" ht="23.25" customHeight="1" thickBot="1" x14ac:dyDescent="0.25">
      <c r="A83" s="454" t="s">
        <v>432</v>
      </c>
      <c r="B83" s="454" t="s">
        <v>91</v>
      </c>
      <c r="C83" s="454" t="s">
        <v>91</v>
      </c>
      <c r="D83" s="454" t="s">
        <v>91</v>
      </c>
      <c r="E83" s="425"/>
      <c r="F83" s="425"/>
    </row>
    <row r="84" spans="1:6" ht="20.100000000000001" customHeight="1" x14ac:dyDescent="0.2">
      <c r="A84" s="444">
        <f>'RT03-F12'!B43</f>
        <v>1</v>
      </c>
      <c r="B84" s="446">
        <f>'RT03-F12'!B44</f>
        <v>0</v>
      </c>
      <c r="C84" s="446">
        <f>'RT03-F12'!B45</f>
        <v>0</v>
      </c>
      <c r="D84" s="446">
        <f>'RT03-F12'!B46</f>
        <v>0</v>
      </c>
      <c r="E84" s="425"/>
      <c r="F84" s="425"/>
    </row>
    <row r="85" spans="1:6" ht="20.100000000000001" customHeight="1" x14ac:dyDescent="0.2">
      <c r="A85" s="444">
        <f>'RT03-F12'!C43</f>
        <v>2</v>
      </c>
      <c r="B85" s="236">
        <f>'RT03-F12'!C44</f>
        <v>0</v>
      </c>
      <c r="C85" s="236">
        <f>'RT03-F12'!C45</f>
        <v>0</v>
      </c>
      <c r="D85" s="236">
        <f>'RT03-F12'!C46</f>
        <v>0</v>
      </c>
      <c r="E85" s="425"/>
      <c r="F85" s="425"/>
    </row>
    <row r="86" spans="1:6" ht="20.100000000000001" customHeight="1" x14ac:dyDescent="0.2">
      <c r="A86" s="444">
        <f>'RT03-F12'!D43</f>
        <v>3</v>
      </c>
      <c r="B86" s="236">
        <f>'RT03-F12'!D44</f>
        <v>0</v>
      </c>
      <c r="C86" s="236">
        <f>'RT03-F12'!D45</f>
        <v>0</v>
      </c>
      <c r="D86" s="236">
        <f>'RT03-F12'!D46</f>
        <v>0</v>
      </c>
      <c r="E86" s="425"/>
      <c r="F86" s="425"/>
    </row>
    <row r="87" spans="1:6" ht="20.100000000000001" customHeight="1" x14ac:dyDescent="0.2">
      <c r="A87" s="444">
        <f>'RT03-F12'!E43</f>
        <v>4</v>
      </c>
      <c r="B87" s="236">
        <f>'RT03-F12'!E44</f>
        <v>0</v>
      </c>
      <c r="C87" s="236">
        <f>'RT03-F12'!E45</f>
        <v>0</v>
      </c>
      <c r="D87" s="236">
        <f>'RT03-F12'!E46</f>
        <v>0</v>
      </c>
      <c r="E87" s="425"/>
      <c r="F87" s="425"/>
    </row>
    <row r="88" spans="1:6" ht="20.100000000000001" customHeight="1" x14ac:dyDescent="0.2">
      <c r="A88" s="444">
        <f>'RT03-F12'!F43</f>
        <v>5</v>
      </c>
      <c r="B88" s="236">
        <f>'RT03-F12'!F44</f>
        <v>0</v>
      </c>
      <c r="C88" s="236">
        <f>'RT03-F12'!F45</f>
        <v>0</v>
      </c>
      <c r="D88" s="236">
        <f>'RT03-F12'!F46</f>
        <v>0</v>
      </c>
      <c r="E88" s="425"/>
      <c r="F88" s="425"/>
    </row>
    <row r="89" spans="1:6" ht="20.100000000000001" customHeight="1" x14ac:dyDescent="0.2">
      <c r="A89" s="444">
        <f>'RT03-F12'!G43</f>
        <v>6</v>
      </c>
      <c r="B89" s="236">
        <f>'RT03-F12'!G44</f>
        <v>0</v>
      </c>
      <c r="C89" s="236">
        <f>'RT03-F12'!G45</f>
        <v>0</v>
      </c>
      <c r="D89" s="236">
        <f>'RT03-F12'!G46</f>
        <v>0</v>
      </c>
      <c r="E89" s="425"/>
      <c r="F89" s="425"/>
    </row>
    <row r="90" spans="1:6" ht="20.100000000000001" customHeight="1" x14ac:dyDescent="0.2">
      <c r="A90" s="444">
        <f>'RT03-F12'!H43</f>
        <v>7</v>
      </c>
      <c r="B90" s="236">
        <f>'RT03-F12'!H44</f>
        <v>0</v>
      </c>
      <c r="C90" s="236">
        <f>'RT03-F12'!H45</f>
        <v>0</v>
      </c>
      <c r="D90" s="236">
        <f>'RT03-F12'!H46</f>
        <v>0</v>
      </c>
      <c r="E90" s="425"/>
      <c r="F90" s="425"/>
    </row>
    <row r="91" spans="1:6" ht="20.100000000000001" customHeight="1" x14ac:dyDescent="0.2">
      <c r="A91" s="444">
        <f>'RT03-F12'!I43</f>
        <v>8</v>
      </c>
      <c r="B91" s="236">
        <f>'RT03-F12'!I44</f>
        <v>0</v>
      </c>
      <c r="C91" s="236">
        <f>'RT03-F12'!I45</f>
        <v>0</v>
      </c>
      <c r="D91" s="236">
        <f>'RT03-F12'!I46</f>
        <v>0</v>
      </c>
      <c r="E91" s="425"/>
      <c r="F91" s="425"/>
    </row>
    <row r="92" spans="1:6" ht="20.100000000000001" customHeight="1" x14ac:dyDescent="0.2">
      <c r="A92" s="444">
        <f>'RT03-F12'!J43</f>
        <v>9</v>
      </c>
      <c r="B92" s="236">
        <f>'RT03-F12'!J44</f>
        <v>0</v>
      </c>
      <c r="C92" s="236">
        <f>'RT03-F12'!J45</f>
        <v>0</v>
      </c>
      <c r="D92" s="236">
        <f>'RT03-F12'!J46</f>
        <v>0</v>
      </c>
      <c r="E92" s="425"/>
      <c r="F92" s="425"/>
    </row>
    <row r="93" spans="1:6" ht="20.100000000000001" customHeight="1" x14ac:dyDescent="0.2">
      <c r="A93" s="444">
        <f>'RT03-F12'!K43</f>
        <v>10</v>
      </c>
      <c r="B93" s="236">
        <f>'RT03-F12'!K44</f>
        <v>0</v>
      </c>
      <c r="C93" s="236">
        <f>'RT03-F12'!K45</f>
        <v>0</v>
      </c>
      <c r="D93" s="236">
        <f>'RT03-F12'!K46</f>
        <v>0</v>
      </c>
      <c r="E93" s="432"/>
      <c r="F93" s="432"/>
    </row>
    <row r="94" spans="1:6" ht="15" customHeight="1" x14ac:dyDescent="0.2">
      <c r="A94" s="412"/>
      <c r="B94" s="412"/>
      <c r="C94" s="412"/>
      <c r="D94" s="432"/>
      <c r="E94" s="432"/>
      <c r="F94" s="432"/>
    </row>
    <row r="95" spans="1:6" ht="15" customHeight="1" x14ac:dyDescent="0.2">
      <c r="A95" s="1310" t="s">
        <v>418</v>
      </c>
      <c r="B95" s="1310"/>
      <c r="C95" s="1310"/>
      <c r="D95" s="1310"/>
      <c r="E95" s="1310"/>
      <c r="F95" s="1310"/>
    </row>
    <row r="96" spans="1:6" ht="15" customHeight="1" x14ac:dyDescent="0.2">
      <c r="A96" s="1310"/>
      <c r="B96" s="1310"/>
      <c r="C96" s="1310"/>
      <c r="D96" s="1310"/>
      <c r="E96" s="1310"/>
      <c r="F96" s="1310"/>
    </row>
    <row r="97" spans="1:6" ht="15" customHeight="1" x14ac:dyDescent="0.2">
      <c r="A97" s="1310"/>
      <c r="B97" s="1310"/>
      <c r="C97" s="1310"/>
      <c r="D97" s="1310"/>
      <c r="E97" s="1310"/>
      <c r="F97" s="1310"/>
    </row>
    <row r="98" spans="1:6" ht="15" customHeight="1" x14ac:dyDescent="0.2">
      <c r="A98" s="1310"/>
      <c r="B98" s="1310"/>
      <c r="C98" s="1310"/>
      <c r="D98" s="1310"/>
      <c r="E98" s="1310"/>
      <c r="F98" s="1310"/>
    </row>
    <row r="99" spans="1:6" ht="15" customHeight="1" x14ac:dyDescent="0.2">
      <c r="E99" s="432"/>
      <c r="F99" s="432"/>
    </row>
    <row r="100" spans="1:6" ht="15" customHeight="1" x14ac:dyDescent="0.2">
      <c r="A100" s="1284" t="s">
        <v>422</v>
      </c>
      <c r="B100" s="1284"/>
      <c r="C100" s="1284"/>
      <c r="D100" s="1284"/>
      <c r="E100" s="412"/>
      <c r="F100" s="412"/>
    </row>
    <row r="101" spans="1:6" ht="15" customHeight="1" thickBot="1" x14ac:dyDescent="0.25"/>
    <row r="102" spans="1:6" ht="15" customHeight="1" thickBot="1" x14ac:dyDescent="0.25">
      <c r="A102" s="1300" t="s">
        <v>417</v>
      </c>
      <c r="B102" s="1301"/>
      <c r="C102" s="1302"/>
      <c r="D102" s="412"/>
      <c r="E102" s="412"/>
      <c r="F102" s="412"/>
    </row>
    <row r="103" spans="1:6" ht="29.25" customHeight="1" thickBot="1" x14ac:dyDescent="0.25">
      <c r="A103" s="455" t="s">
        <v>18</v>
      </c>
      <c r="B103" s="456" t="s">
        <v>149</v>
      </c>
      <c r="C103" s="457" t="s">
        <v>375</v>
      </c>
      <c r="D103" s="412"/>
      <c r="E103" s="412"/>
      <c r="F103" s="412"/>
    </row>
    <row r="104" spans="1:6" ht="19.5" customHeight="1" x14ac:dyDescent="0.2">
      <c r="A104" s="458" t="e">
        <f>'RT03-F12'!B55</f>
        <v>#N/A</v>
      </c>
      <c r="B104" s="459">
        <f>'RT03-F12'!C55</f>
        <v>0</v>
      </c>
      <c r="C104" s="460" t="e">
        <f>'RT03-F12'!D55</f>
        <v>#N/A</v>
      </c>
      <c r="D104" s="412"/>
      <c r="E104" s="412"/>
      <c r="F104" s="412"/>
    </row>
    <row r="105" spans="1:6" ht="20.100000000000001" customHeight="1" x14ac:dyDescent="0.2">
      <c r="A105" s="461" t="e">
        <f>'RT03-F12'!B56</f>
        <v>#N/A</v>
      </c>
      <c r="B105" s="462">
        <f>'RT03-F12'!C56</f>
        <v>0</v>
      </c>
      <c r="C105" s="460" t="e">
        <f>'RT03-F12'!D56</f>
        <v>#N/A</v>
      </c>
      <c r="D105" s="412"/>
      <c r="E105" s="412"/>
      <c r="F105" s="412"/>
    </row>
    <row r="106" spans="1:6" ht="20.100000000000001" customHeight="1" x14ac:dyDescent="0.2">
      <c r="A106" s="461" t="e">
        <f>'RT03-F12'!B57</f>
        <v>#N/A</v>
      </c>
      <c r="B106" s="462">
        <f>'RT03-F12'!C57</f>
        <v>0</v>
      </c>
      <c r="C106" s="460" t="e">
        <f>'RT03-F12'!D57</f>
        <v>#N/A</v>
      </c>
      <c r="D106" s="412"/>
      <c r="E106" s="412"/>
      <c r="F106" s="412"/>
    </row>
    <row r="107" spans="1:6" ht="20.100000000000001" customHeight="1" x14ac:dyDescent="0.2">
      <c r="A107" s="461" t="e">
        <f>'RT03-F12'!B58</f>
        <v>#N/A</v>
      </c>
      <c r="B107" s="462">
        <f>'RT03-F12'!C58</f>
        <v>0</v>
      </c>
      <c r="C107" s="463" t="e">
        <f>'RT03-F12'!D58</f>
        <v>#N/A</v>
      </c>
      <c r="D107" s="412"/>
      <c r="E107" s="412"/>
      <c r="F107" s="412"/>
    </row>
    <row r="108" spans="1:6" ht="20.100000000000001" customHeight="1" x14ac:dyDescent="0.2">
      <c r="A108" s="461" t="e">
        <f>'RT03-F12'!B59</f>
        <v>#N/A</v>
      </c>
      <c r="B108" s="462">
        <f>'RT03-F12'!C59</f>
        <v>0</v>
      </c>
      <c r="C108" s="463" t="e">
        <f>'RT03-F12'!D59</f>
        <v>#N/A</v>
      </c>
      <c r="D108" s="412"/>
      <c r="E108" s="412"/>
      <c r="F108" s="412"/>
    </row>
    <row r="109" spans="1:6" ht="15.95" customHeight="1" x14ac:dyDescent="0.2">
      <c r="A109" s="464"/>
      <c r="B109" s="464"/>
      <c r="C109" s="464"/>
      <c r="D109" s="412"/>
      <c r="E109" s="412"/>
      <c r="F109" s="464"/>
    </row>
    <row r="110" spans="1:6" ht="15.95" customHeight="1" thickBot="1" x14ac:dyDescent="0.25">
      <c r="A110" s="464"/>
      <c r="B110" s="464"/>
      <c r="C110" s="464"/>
      <c r="D110" s="1288" t="s">
        <v>428</v>
      </c>
      <c r="E110" s="1288"/>
      <c r="F110" s="789" t="e">
        <f>F2</f>
        <v>#N/A</v>
      </c>
    </row>
    <row r="111" spans="1:6" ht="15.95" customHeight="1" thickBot="1" x14ac:dyDescent="0.25">
      <c r="A111" s="1300" t="s">
        <v>419</v>
      </c>
      <c r="B111" s="1301"/>
      <c r="C111" s="1302"/>
    </row>
    <row r="112" spans="1:6" ht="15.95" customHeight="1" thickBot="1" x14ac:dyDescent="0.25">
      <c r="A112" s="465" t="str">
        <f>'RT03-F12'!B54</f>
        <v>Cargas (g)</v>
      </c>
      <c r="B112" s="454" t="s">
        <v>327</v>
      </c>
      <c r="C112" s="454" t="s">
        <v>326</v>
      </c>
      <c r="E112" s="466"/>
    </row>
    <row r="113" spans="1:6" ht="15.95" customHeight="1" x14ac:dyDescent="0.2">
      <c r="A113" s="467" t="e">
        <f>'RT03-F12'!B55</f>
        <v>#N/A</v>
      </c>
      <c r="B113" s="468" t="e">
        <f>'RT03-F12'!K55</f>
        <v>#DIV/0!</v>
      </c>
      <c r="C113" s="468" t="e">
        <f>'RT03-F12'!F105</f>
        <v>#DIV/0!</v>
      </c>
      <c r="E113" s="466"/>
    </row>
    <row r="114" spans="1:6" ht="15.95" customHeight="1" x14ac:dyDescent="0.2">
      <c r="A114" s="469" t="e">
        <f>'RT03-F12'!B56</f>
        <v>#N/A</v>
      </c>
      <c r="B114" s="468" t="e">
        <f>'RT03-F12'!K56</f>
        <v>#DIV/0!</v>
      </c>
      <c r="C114" s="468" t="e">
        <f>'RT03-F12'!G105</f>
        <v>#DIV/0!</v>
      </c>
      <c r="E114" s="466"/>
    </row>
    <row r="115" spans="1:6" ht="15.95" customHeight="1" x14ac:dyDescent="0.2">
      <c r="A115" s="470" t="e">
        <f>'RT03-F12'!B57</f>
        <v>#N/A</v>
      </c>
      <c r="B115" s="468" t="e">
        <f>'RT03-F12'!K57</f>
        <v>#DIV/0!</v>
      </c>
      <c r="C115" s="468" t="e">
        <f>'RT03-F12'!H105</f>
        <v>#DIV/0!</v>
      </c>
      <c r="E115" s="466"/>
    </row>
    <row r="116" spans="1:6" ht="15.95" customHeight="1" x14ac:dyDescent="0.2">
      <c r="A116" s="469" t="e">
        <f>'RT03-F12'!B58</f>
        <v>#N/A</v>
      </c>
      <c r="B116" s="471" t="e">
        <f>'RT03-F12'!K58</f>
        <v>#DIV/0!</v>
      </c>
      <c r="C116" s="471" t="e">
        <f>'RT03-F12'!I105</f>
        <v>#DIV/0!</v>
      </c>
      <c r="D116" s="425"/>
      <c r="E116" s="466"/>
      <c r="F116" s="425"/>
    </row>
    <row r="117" spans="1:6" ht="15.95" customHeight="1" x14ac:dyDescent="0.2">
      <c r="A117" s="470" t="e">
        <f>'RT03-F12'!B59</f>
        <v>#N/A</v>
      </c>
      <c r="B117" s="471" t="e">
        <f>'RT03-F12'!K59</f>
        <v>#DIV/0!</v>
      </c>
      <c r="C117" s="471" t="e">
        <f>'RT03-F12'!J105</f>
        <v>#DIV/0!</v>
      </c>
      <c r="D117" s="425"/>
      <c r="E117" s="466"/>
      <c r="F117" s="425"/>
    </row>
    <row r="118" spans="1:6" ht="15.95" customHeight="1" x14ac:dyDescent="0.2">
      <c r="A118" s="472"/>
      <c r="B118" s="473"/>
      <c r="C118" s="473"/>
      <c r="D118" s="425"/>
      <c r="E118" s="466"/>
      <c r="F118" s="425"/>
    </row>
    <row r="119" spans="1:6" ht="15.95" customHeight="1" x14ac:dyDescent="0.2">
      <c r="A119" s="96"/>
      <c r="B119" s="429"/>
      <c r="C119" s="429"/>
      <c r="D119" s="425"/>
      <c r="E119" s="466"/>
      <c r="F119" s="425"/>
    </row>
    <row r="120" spans="1:6" ht="15" customHeight="1" x14ac:dyDescent="0.2">
      <c r="A120" s="464"/>
      <c r="B120" s="429"/>
      <c r="C120" s="429"/>
      <c r="D120" s="412"/>
      <c r="E120" s="412"/>
      <c r="F120" s="412"/>
    </row>
    <row r="121" spans="1:6" ht="15" customHeight="1" x14ac:dyDescent="0.2">
      <c r="A121" s="425"/>
      <c r="B121" s="474"/>
      <c r="C121" s="425"/>
      <c r="D121" s="425"/>
      <c r="E121" s="425"/>
      <c r="F121" s="425"/>
    </row>
    <row r="122" spans="1:6" ht="15" customHeight="1" x14ac:dyDescent="0.2">
      <c r="A122" s="425"/>
      <c r="B122" s="425"/>
      <c r="C122" s="425"/>
      <c r="D122" s="425"/>
      <c r="E122" s="425"/>
      <c r="F122" s="425"/>
    </row>
    <row r="123" spans="1:6" ht="15" customHeight="1" x14ac:dyDescent="0.2">
      <c r="A123" s="425"/>
      <c r="B123" s="425"/>
      <c r="C123" s="425"/>
      <c r="D123" s="425"/>
      <c r="E123" s="425"/>
      <c r="F123" s="425"/>
    </row>
    <row r="124" spans="1:6" ht="15" customHeight="1" x14ac:dyDescent="0.2">
      <c r="A124" s="425"/>
      <c r="B124" s="425"/>
      <c r="C124" s="425"/>
      <c r="D124" s="425"/>
      <c r="E124" s="425"/>
      <c r="F124" s="425"/>
    </row>
    <row r="125" spans="1:6" ht="15" customHeight="1" x14ac:dyDescent="0.2">
      <c r="A125" s="425"/>
      <c r="B125" s="425"/>
      <c r="C125" s="425"/>
      <c r="D125" s="425"/>
      <c r="E125" s="425"/>
      <c r="F125" s="425"/>
    </row>
    <row r="126" spans="1:6" ht="15" customHeight="1" x14ac:dyDescent="0.2">
      <c r="A126" s="425"/>
      <c r="B126" s="425"/>
      <c r="C126" s="425"/>
      <c r="D126" s="425"/>
      <c r="E126" s="425"/>
      <c r="F126" s="425"/>
    </row>
    <row r="127" spans="1:6" ht="15" customHeight="1" x14ac:dyDescent="0.2">
      <c r="A127" s="425"/>
      <c r="B127" s="425"/>
      <c r="C127" s="425"/>
      <c r="D127" s="425"/>
      <c r="E127" s="425"/>
      <c r="F127" s="425"/>
    </row>
    <row r="128" spans="1:6" ht="15" customHeight="1" x14ac:dyDescent="0.2">
      <c r="A128" s="425"/>
      <c r="B128" s="425"/>
      <c r="C128" s="425"/>
      <c r="D128" s="425"/>
      <c r="E128" s="425"/>
      <c r="F128" s="425"/>
    </row>
    <row r="129" spans="1:6" ht="15" customHeight="1" x14ac:dyDescent="0.2">
      <c r="A129" s="425"/>
      <c r="B129" s="425"/>
      <c r="C129" s="425"/>
      <c r="D129" s="425"/>
      <c r="E129" s="425"/>
      <c r="F129" s="425"/>
    </row>
    <row r="130" spans="1:6" ht="15" customHeight="1" x14ac:dyDescent="0.2">
      <c r="A130" s="425"/>
      <c r="B130" s="425"/>
      <c r="C130" s="425"/>
      <c r="D130" s="425"/>
      <c r="E130" s="425"/>
      <c r="F130" s="425"/>
    </row>
    <row r="131" spans="1:6" ht="15" customHeight="1" x14ac:dyDescent="0.2">
      <c r="A131" s="425"/>
      <c r="B131" s="425"/>
      <c r="C131" s="425"/>
      <c r="D131" s="425"/>
      <c r="E131" s="425"/>
      <c r="F131" s="425"/>
    </row>
    <row r="132" spans="1:6" ht="15" customHeight="1" x14ac:dyDescent="0.2">
      <c r="A132" s="425"/>
      <c r="B132" s="425"/>
      <c r="C132" s="425"/>
      <c r="D132" s="425"/>
      <c r="E132" s="425"/>
      <c r="F132" s="425"/>
    </row>
    <row r="133" spans="1:6" ht="15" customHeight="1" x14ac:dyDescent="0.2">
      <c r="D133" s="412"/>
      <c r="E133" s="412"/>
      <c r="F133" s="412"/>
    </row>
    <row r="134" spans="1:6" ht="15" customHeight="1" x14ac:dyDescent="0.2">
      <c r="A134" s="412"/>
      <c r="B134" s="412"/>
      <c r="C134" s="412"/>
      <c r="D134" s="412"/>
      <c r="E134" s="412"/>
      <c r="F134" s="412"/>
    </row>
    <row r="135" spans="1:6" ht="15" customHeight="1" x14ac:dyDescent="0.2">
      <c r="A135" s="412"/>
      <c r="B135" s="412"/>
      <c r="C135" s="412"/>
      <c r="D135" s="412"/>
      <c r="E135" s="412"/>
      <c r="F135" s="412"/>
    </row>
    <row r="136" spans="1:6" ht="15" customHeight="1" x14ac:dyDescent="0.2">
      <c r="A136" s="412"/>
      <c r="B136" s="412"/>
      <c r="C136" s="412"/>
      <c r="D136" s="412"/>
      <c r="E136" s="412"/>
      <c r="F136" s="412"/>
    </row>
    <row r="137" spans="1:6" ht="15" customHeight="1" x14ac:dyDescent="0.2">
      <c r="A137" s="412"/>
      <c r="B137" s="412"/>
      <c r="C137" s="412"/>
      <c r="D137" s="412"/>
      <c r="E137" s="412"/>
      <c r="F137" s="412"/>
    </row>
    <row r="138" spans="1:6" ht="15" customHeight="1" x14ac:dyDescent="0.2">
      <c r="A138" s="1299" t="s">
        <v>374</v>
      </c>
      <c r="B138" s="1299"/>
      <c r="C138" s="1299"/>
      <c r="D138" s="1299"/>
      <c r="E138" s="1299"/>
      <c r="F138" s="1299"/>
    </row>
    <row r="139" spans="1:6" ht="15" customHeight="1" x14ac:dyDescent="0.2">
      <c r="A139" s="1299"/>
      <c r="B139" s="1299"/>
      <c r="C139" s="1299"/>
      <c r="D139" s="1299"/>
      <c r="E139" s="1299"/>
      <c r="F139" s="1299"/>
    </row>
    <row r="140" spans="1:6" ht="12" customHeight="1" x14ac:dyDescent="0.2">
      <c r="A140" s="451"/>
      <c r="B140" s="451"/>
      <c r="C140" s="451"/>
      <c r="D140" s="451"/>
      <c r="E140" s="451"/>
      <c r="F140" s="451"/>
    </row>
    <row r="141" spans="1:6" ht="20.100000000000001" customHeight="1" x14ac:dyDescent="0.2">
      <c r="A141" s="1340" t="s">
        <v>474</v>
      </c>
      <c r="B141" s="1340"/>
      <c r="C141" s="1340"/>
      <c r="D141" s="1340"/>
      <c r="E141" s="1340"/>
      <c r="F141" s="1340"/>
    </row>
    <row r="142" spans="1:6" ht="12" customHeight="1" x14ac:dyDescent="0.2">
      <c r="A142" s="432"/>
      <c r="B142" s="432"/>
      <c r="C142" s="432"/>
      <c r="D142" s="412"/>
      <c r="E142" s="412"/>
      <c r="F142" s="412"/>
    </row>
    <row r="143" spans="1:6" ht="15" customHeight="1" x14ac:dyDescent="0.2">
      <c r="A143" s="1313" t="s">
        <v>475</v>
      </c>
      <c r="B143" s="1313"/>
      <c r="C143" s="1313"/>
      <c r="D143" s="1313"/>
      <c r="E143" s="1313"/>
      <c r="F143" s="1313"/>
    </row>
    <row r="144" spans="1:6" ht="15" customHeight="1" x14ac:dyDescent="0.2">
      <c r="A144" s="1313"/>
      <c r="B144" s="1313"/>
      <c r="C144" s="1313"/>
      <c r="D144" s="1313"/>
      <c r="E144" s="1313"/>
      <c r="F144" s="1313"/>
    </row>
    <row r="145" spans="1:6" ht="20.100000000000001" customHeight="1" x14ac:dyDescent="0.2">
      <c r="A145" s="1313"/>
      <c r="B145" s="1313"/>
      <c r="C145" s="1313"/>
      <c r="D145" s="1313"/>
      <c r="E145" s="1313"/>
      <c r="F145" s="1313"/>
    </row>
    <row r="146" spans="1:6" ht="15" customHeight="1" x14ac:dyDescent="0.2">
      <c r="A146" s="1313"/>
      <c r="B146" s="1313"/>
      <c r="C146" s="1313"/>
      <c r="D146" s="1313"/>
      <c r="E146" s="1313"/>
      <c r="F146" s="1313"/>
    </row>
    <row r="147" spans="1:6" ht="15" customHeight="1" thickBot="1" x14ac:dyDescent="0.25">
      <c r="A147" s="1317"/>
      <c r="B147" s="1317"/>
      <c r="C147" s="1317"/>
      <c r="D147" s="1317"/>
      <c r="E147" s="1317"/>
      <c r="F147" s="425"/>
    </row>
    <row r="148" spans="1:6" ht="39.950000000000003" customHeight="1" thickTop="1" thickBot="1" x14ac:dyDescent="0.35">
      <c r="A148" s="792" t="s">
        <v>326</v>
      </c>
      <c r="B148" s="793" t="e">
        <f>IF('RT03-F12'!F140&lt;=('DATOS '!H157),"0,078",'RT03-F12'!F140)</f>
        <v>#N/A</v>
      </c>
      <c r="C148" s="794" t="s">
        <v>424</v>
      </c>
      <c r="D148" s="795" t="e">
        <f>IF('RT03-F12'!H140&lt;=('DATOS '!J157),"0,078",'RT03-F12'!H140)</f>
        <v>#N/A</v>
      </c>
      <c r="E148" s="793" t="s">
        <v>70</v>
      </c>
      <c r="F148" s="797"/>
    </row>
    <row r="149" spans="1:6" ht="15" customHeight="1" thickTop="1" x14ac:dyDescent="0.2">
      <c r="A149" s="421"/>
      <c r="B149" s="421"/>
      <c r="C149" s="421"/>
      <c r="D149" s="475"/>
      <c r="E149" s="477"/>
      <c r="F149" s="476"/>
    </row>
    <row r="151" spans="1:6" ht="15" customHeight="1" x14ac:dyDescent="0.2">
      <c r="A151" s="425"/>
      <c r="B151" s="464"/>
      <c r="C151" s="431"/>
      <c r="D151" s="425"/>
      <c r="E151" s="478"/>
    </row>
    <row r="152" spans="1:6" ht="15" customHeight="1" x14ac:dyDescent="0.2">
      <c r="A152" s="425"/>
      <c r="B152" s="464"/>
      <c r="C152" s="431"/>
      <c r="D152" s="1335" t="s">
        <v>428</v>
      </c>
      <c r="E152" s="1335"/>
      <c r="F152" s="791" t="e">
        <f>F2</f>
        <v>#N/A</v>
      </c>
    </row>
    <row r="153" spans="1:6" ht="15" customHeight="1" x14ac:dyDescent="0.2">
      <c r="A153" s="425"/>
      <c r="B153" s="464"/>
      <c r="C153" s="431"/>
      <c r="D153" s="425"/>
      <c r="E153" s="478"/>
    </row>
    <row r="154" spans="1:6" ht="15" customHeight="1" x14ac:dyDescent="0.2">
      <c r="A154" s="1285" t="s">
        <v>93</v>
      </c>
      <c r="B154" s="1285"/>
      <c r="C154" s="1285"/>
      <c r="D154" s="1285"/>
      <c r="E154" s="1285"/>
      <c r="F154" s="1285"/>
    </row>
    <row r="155" spans="1:6" ht="15" customHeight="1" x14ac:dyDescent="0.2">
      <c r="A155" s="1285"/>
      <c r="B155" s="1285"/>
      <c r="C155" s="1285"/>
      <c r="D155" s="1285"/>
      <c r="E155" s="1285"/>
      <c r="F155" s="1285"/>
    </row>
    <row r="156" spans="1:6" ht="15" customHeight="1" x14ac:dyDescent="0.2">
      <c r="A156" s="431"/>
      <c r="B156" s="431"/>
      <c r="C156" s="431"/>
      <c r="D156" s="431"/>
      <c r="E156" s="431"/>
      <c r="F156" s="431"/>
    </row>
    <row r="157" spans="1:6" ht="15" customHeight="1" x14ac:dyDescent="0.2">
      <c r="A157" s="451"/>
      <c r="B157" s="451"/>
      <c r="C157" s="451"/>
      <c r="D157" s="451"/>
      <c r="E157" s="451"/>
      <c r="F157" s="451"/>
    </row>
    <row r="158" spans="1:6" ht="15" customHeight="1" x14ac:dyDescent="0.2">
      <c r="A158" s="451"/>
      <c r="B158" s="451"/>
      <c r="C158" s="451"/>
      <c r="D158" s="451"/>
      <c r="E158" s="451"/>
      <c r="F158" s="451"/>
    </row>
    <row r="159" spans="1:6" ht="15" customHeight="1" thickBot="1" x14ac:dyDescent="0.25">
      <c r="A159" s="451"/>
      <c r="B159" s="451"/>
      <c r="C159" s="451"/>
      <c r="D159" s="479"/>
      <c r="E159" s="479"/>
      <c r="F159" s="479"/>
    </row>
    <row r="160" spans="1:6" ht="15" customHeight="1" thickBot="1" x14ac:dyDescent="0.25">
      <c r="A160" s="480" t="s">
        <v>462</v>
      </c>
      <c r="B160" s="1286" t="s">
        <v>425</v>
      </c>
      <c r="C160" s="1287"/>
      <c r="D160" s="1287"/>
      <c r="E160" s="474"/>
      <c r="F160" s="416"/>
    </row>
    <row r="161" spans="1:6" ht="15" customHeight="1" thickBot="1" x14ac:dyDescent="0.25">
      <c r="A161" s="481" t="s">
        <v>94</v>
      </c>
      <c r="B161" s="1286" t="s">
        <v>95</v>
      </c>
      <c r="C161" s="1287"/>
      <c r="D161" s="1287"/>
      <c r="E161" s="416"/>
      <c r="F161" s="451"/>
    </row>
    <row r="162" spans="1:6" ht="15" customHeight="1" thickBot="1" x14ac:dyDescent="0.25">
      <c r="A162" s="482" t="s">
        <v>96</v>
      </c>
      <c r="B162" s="1286" t="s">
        <v>97</v>
      </c>
      <c r="C162" s="1287"/>
      <c r="D162" s="1287"/>
      <c r="E162" s="416"/>
      <c r="F162" s="416"/>
    </row>
    <row r="163" spans="1:6" ht="15" customHeight="1" x14ac:dyDescent="0.2">
      <c r="A163" s="787"/>
      <c r="B163" s="723"/>
      <c r="C163" s="723"/>
      <c r="D163" s="723"/>
      <c r="E163" s="723"/>
      <c r="F163" s="723"/>
    </row>
    <row r="164" spans="1:6" ht="12" customHeight="1" x14ac:dyDescent="0.2">
      <c r="E164" s="416"/>
      <c r="F164" s="416"/>
    </row>
    <row r="165" spans="1:6" ht="20.100000000000001" customHeight="1" x14ac:dyDescent="0.2">
      <c r="A165" s="1298" t="s">
        <v>476</v>
      </c>
      <c r="B165" s="1298"/>
      <c r="C165" s="1298"/>
      <c r="D165" s="483"/>
      <c r="E165" s="483"/>
      <c r="F165" s="483"/>
    </row>
    <row r="166" spans="1:6" ht="24.95" customHeight="1" x14ac:dyDescent="0.2">
      <c r="A166" s="1336"/>
      <c r="B166" s="1336"/>
      <c r="C166" s="1336"/>
      <c r="D166" s="1336"/>
      <c r="E166" s="1336"/>
      <c r="F166" s="1336"/>
    </row>
    <row r="167" spans="1:6" ht="24.95" customHeight="1" x14ac:dyDescent="0.2">
      <c r="A167" s="1336"/>
      <c r="B167" s="1336"/>
      <c r="C167" s="1336"/>
      <c r="D167" s="1336"/>
      <c r="E167" s="1336"/>
      <c r="F167" s="1336"/>
    </row>
    <row r="168" spans="1:6" ht="20.100000000000001" customHeight="1" x14ac:dyDescent="0.2">
      <c r="A168" s="1336"/>
      <c r="B168" s="1336"/>
      <c r="C168" s="1336"/>
      <c r="D168" s="1336"/>
      <c r="E168" s="1336"/>
      <c r="F168" s="1336"/>
    </row>
    <row r="169" spans="1:6" ht="15" customHeight="1" x14ac:dyDescent="0.2">
      <c r="A169" s="1336"/>
      <c r="B169" s="1336"/>
      <c r="C169" s="1336"/>
      <c r="D169" s="1336"/>
      <c r="E169" s="1336"/>
      <c r="F169" s="1336"/>
    </row>
    <row r="170" spans="1:6" ht="27" customHeight="1" x14ac:dyDescent="0.2">
      <c r="A170" s="1336"/>
      <c r="B170" s="1336"/>
      <c r="C170" s="1336"/>
      <c r="D170" s="1336"/>
      <c r="E170" s="1336"/>
      <c r="F170" s="1336"/>
    </row>
    <row r="171" spans="1:6" ht="15" customHeight="1" x14ac:dyDescent="0.2">
      <c r="A171" s="1336"/>
      <c r="B171" s="1336"/>
      <c r="C171" s="1336"/>
      <c r="D171" s="1336"/>
      <c r="E171" s="1336"/>
      <c r="F171" s="1336"/>
    </row>
    <row r="172" spans="1:6" ht="15" customHeight="1" x14ac:dyDescent="0.2">
      <c r="A172" s="1336"/>
      <c r="B172" s="1336"/>
      <c r="C172" s="1336"/>
      <c r="D172" s="1336"/>
      <c r="E172" s="1336"/>
      <c r="F172" s="1336"/>
    </row>
    <row r="173" spans="1:6" ht="15" customHeight="1" x14ac:dyDescent="0.2">
      <c r="A173" s="1336"/>
      <c r="B173" s="1336"/>
      <c r="C173" s="1336"/>
      <c r="D173" s="1336"/>
      <c r="E173" s="1336"/>
      <c r="F173" s="1336"/>
    </row>
    <row r="174" spans="1:6" ht="15" customHeight="1" x14ac:dyDescent="0.2">
      <c r="A174" s="484"/>
      <c r="B174" s="484"/>
      <c r="C174" s="485"/>
      <c r="D174" s="412"/>
      <c r="E174" s="412"/>
      <c r="F174" s="412"/>
    </row>
    <row r="175" spans="1:6" ht="20.100000000000001" customHeight="1" x14ac:dyDescent="0.2">
      <c r="A175" s="1293" t="s">
        <v>435</v>
      </c>
      <c r="B175" s="1293"/>
      <c r="C175" s="486"/>
    </row>
    <row r="176" spans="1:6" ht="15" customHeight="1" x14ac:dyDescent="0.2">
      <c r="B176" s="487"/>
      <c r="C176" s="486"/>
    </row>
    <row r="177" spans="1:6" ht="15" customHeight="1" x14ac:dyDescent="0.2">
      <c r="A177" s="409" t="s">
        <v>98</v>
      </c>
      <c r="B177" s="409"/>
      <c r="C177" s="488"/>
      <c r="D177" s="1337" t="s">
        <v>129</v>
      </c>
      <c r="E177" s="1337"/>
      <c r="F177" s="1337"/>
    </row>
    <row r="178" spans="1:6" ht="15" customHeight="1" x14ac:dyDescent="0.2">
      <c r="A178" s="1295" t="s">
        <v>131</v>
      </c>
      <c r="B178" s="1295"/>
      <c r="C178" s="1295"/>
      <c r="D178" s="1296" t="s">
        <v>433</v>
      </c>
      <c r="E178" s="1296"/>
      <c r="F178" s="488"/>
    </row>
    <row r="179" spans="1:6" ht="20.25" customHeight="1" x14ac:dyDescent="0.2">
      <c r="A179" s="1297" t="e">
        <f>VLOOKUP($C$177,'DATOS '!$A$113:$D$159,4,FALSE)</f>
        <v>#N/A</v>
      </c>
      <c r="B179" s="1297"/>
      <c r="C179" s="1297"/>
      <c r="D179" s="1297" t="e">
        <f>VLOOKUP($F$178,'DATOS '!A156:F159,6,FALSE)</f>
        <v>#N/A</v>
      </c>
      <c r="E179" s="1297"/>
      <c r="F179" s="1297"/>
    </row>
    <row r="180" spans="1:6" ht="15" customHeight="1" x14ac:dyDescent="0.2">
      <c r="A180" s="1297" t="e">
        <f>VLOOKUP($C$177,'DATOS '!$A$113:$D$159,2,FALSE)</f>
        <v>#N/A</v>
      </c>
      <c r="B180" s="1297"/>
      <c r="C180" s="1297"/>
      <c r="D180" s="1297" t="e">
        <f>VLOOKUP($F$178,'DATOS '!A156:F159,2,FALSE)</f>
        <v>#N/A</v>
      </c>
      <c r="E180" s="1297"/>
      <c r="F180" s="1297"/>
    </row>
    <row r="182" spans="1:6" s="489" customFormat="1" ht="9.9499999999999993" customHeight="1" x14ac:dyDescent="0.25">
      <c r="B182" s="1291" t="s">
        <v>132</v>
      </c>
      <c r="C182" s="1291"/>
      <c r="D182" s="1291"/>
      <c r="E182" s="1291"/>
    </row>
    <row r="183" spans="1:6" ht="15" customHeight="1" x14ac:dyDescent="0.2">
      <c r="B183" s="490"/>
      <c r="C183" s="490"/>
      <c r="D183" s="490"/>
      <c r="E183" s="490"/>
    </row>
  </sheetData>
  <sheetProtection algorithmName="SHA-512" hashValue="8WyqWGt3w7i/1Uyw++tLtSPDv94lLehte8hSzD0nXzftnlAmk9IDict1VlxHuhGPLc3R8XYIolyxRnkcb7CGUA==" saltValue="eIX+Ip40IemGpFk2u4cWkg==" spinCount="100000" sheet="1" objects="1" scenarios="1"/>
  <mergeCells count="76">
    <mergeCell ref="A141:F141"/>
    <mergeCell ref="A143:F146"/>
    <mergeCell ref="A53:F53"/>
    <mergeCell ref="A12:B12"/>
    <mergeCell ref="A3:C3"/>
    <mergeCell ref="A5:B5"/>
    <mergeCell ref="C5:F5"/>
    <mergeCell ref="A6:B6"/>
    <mergeCell ref="C6:D6"/>
    <mergeCell ref="A7:B7"/>
    <mergeCell ref="C7:D7"/>
    <mergeCell ref="E7:F13"/>
    <mergeCell ref="A8:B8"/>
    <mergeCell ref="A9:B9"/>
    <mergeCell ref="C9:D9"/>
    <mergeCell ref="A10:B10"/>
    <mergeCell ref="C10:D10"/>
    <mergeCell ref="A11:B11"/>
    <mergeCell ref="C11:D11"/>
    <mergeCell ref="A15:B15"/>
    <mergeCell ref="D15:E15"/>
    <mergeCell ref="A29:D29"/>
    <mergeCell ref="A22:B22"/>
    <mergeCell ref="A24:B24"/>
    <mergeCell ref="C24:E24"/>
    <mergeCell ref="A17:C17"/>
    <mergeCell ref="A19:B19"/>
    <mergeCell ref="A20:B20"/>
    <mergeCell ref="A21:B21"/>
    <mergeCell ref="A27:F27"/>
    <mergeCell ref="A61:B61"/>
    <mergeCell ref="A41:B41"/>
    <mergeCell ref="C41:D41"/>
    <mergeCell ref="A51:F51"/>
    <mergeCell ref="A31:F31"/>
    <mergeCell ref="A33:D33"/>
    <mergeCell ref="A35:F38"/>
    <mergeCell ref="A39:B39"/>
    <mergeCell ref="C39:F39"/>
    <mergeCell ref="A40:F40"/>
    <mergeCell ref="A55:B55"/>
    <mergeCell ref="A56:B56"/>
    <mergeCell ref="A57:B57"/>
    <mergeCell ref="A59:D59"/>
    <mergeCell ref="A180:C180"/>
    <mergeCell ref="D180:F180"/>
    <mergeCell ref="B182:E182"/>
    <mergeCell ref="A165:C165"/>
    <mergeCell ref="A166:F173"/>
    <mergeCell ref="D177:F177"/>
    <mergeCell ref="D178:E178"/>
    <mergeCell ref="A178:C178"/>
    <mergeCell ref="A175:B175"/>
    <mergeCell ref="D2:E2"/>
    <mergeCell ref="D44:E44"/>
    <mergeCell ref="D78:E78"/>
    <mergeCell ref="A179:C179"/>
    <mergeCell ref="D179:F179"/>
    <mergeCell ref="A154:F155"/>
    <mergeCell ref="B160:D160"/>
    <mergeCell ref="B161:D161"/>
    <mergeCell ref="B162:D162"/>
    <mergeCell ref="A102:C102"/>
    <mergeCell ref="A111:C111"/>
    <mergeCell ref="A138:F139"/>
    <mergeCell ref="D152:E152"/>
    <mergeCell ref="A45:C45"/>
    <mergeCell ref="A47:D47"/>
    <mergeCell ref="A147:E147"/>
    <mergeCell ref="D110:E110"/>
    <mergeCell ref="A63:C63"/>
    <mergeCell ref="A73:F75"/>
    <mergeCell ref="A79:B79"/>
    <mergeCell ref="A81:D81"/>
    <mergeCell ref="A95:F98"/>
    <mergeCell ref="A100:D100"/>
  </mergeCells>
  <pageMargins left="0.70866141732283472" right="0.70866141732283472" top="0.74803149606299213" bottom="0.74803149606299213" header="0.31496062992125984" footer="0.31496062992125984"/>
  <pageSetup scale="95" orientation="portrait" horizontalDpi="4294967293" r:id="rId1"/>
  <headerFooter>
    <oddHeader xml:space="preserve">&amp;C &amp;"-,Negrita"&amp;12  
                &amp;16 &amp;12 &amp;"Arial Narrow,Negrita"&amp;14SUPLEMENTO DE CERTIFICADO DE CALIBRACIÓN 
             DE  BALANZAS&amp;R&amp;"-,Negrita"&amp;12
             </oddHeader>
    <oddFooter>&amp;R&amp;8  
RT03-F39  Vr. 4(2019-04-04)
&amp;P de &amp;N</oddFooter>
  </headerFooter>
  <rowBreaks count="4" manualBreakCount="4">
    <brk id="42" max="16383" man="1"/>
    <brk id="76" max="16383" man="1"/>
    <brk id="109" max="16383" man="1"/>
    <brk id="15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'DATOS '!$A$156:$A$158</xm:f>
          </x14:formula1>
          <xm:sqref>C177</xm:sqref>
        </x14:dataValidation>
        <x14:dataValidation type="list" allowBlank="1" showInputMessage="1" showErrorMessage="1">
          <x14:formula1>
            <xm:f>'DATOS '!$A$156:$A$159</xm:f>
          </x14:formula1>
          <xm:sqref>F178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DATOS 1</vt:lpstr>
      <vt:lpstr>DATOS </vt:lpstr>
      <vt:lpstr>RT03-F12</vt:lpstr>
      <vt:lpstr>RT03-F15 </vt:lpstr>
      <vt:lpstr>RT03-F39</vt:lpstr>
      <vt:lpstr>'DATOS '!Print_Area</vt:lpstr>
      <vt:lpstr>'DATOS 1'!Print_Area</vt:lpstr>
      <vt:lpstr>'RT03-F12'!Print_Area</vt:lpstr>
      <vt:lpstr>'RT03-F15 '!Print_Area</vt:lpstr>
      <vt:lpstr>'RT03-F12'!Print_Titles</vt:lpstr>
      <vt:lpstr>'RT03-F15 '!Print_Titles</vt:lpstr>
      <vt:lpstr>'RT03-F39'!Print_Titles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Aguirre Romero</dc:creator>
  <cp:lastModifiedBy>Maria del Carmen Diaz Fonseca</cp:lastModifiedBy>
  <cp:lastPrinted>2019-04-03T15:48:01Z</cp:lastPrinted>
  <dcterms:created xsi:type="dcterms:W3CDTF">2016-06-28T20:23:39Z</dcterms:created>
  <dcterms:modified xsi:type="dcterms:W3CDTF">2019-04-04T19:34:10Z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984326</vt:i4>
  </property>
</Properties>
</file>